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able\Website File Uploads\2026\Assessing\"/>
    </mc:Choice>
  </mc:AlternateContent>
  <xr:revisionPtr revIDLastSave="0" documentId="8_{C2C31DBA-D231-4173-AA41-EB30CF00275E}" xr6:coauthVersionLast="36" xr6:coauthVersionMax="36" xr10:uidLastSave="{00000000-0000-0000-0000-000000000000}"/>
  <bookViews>
    <workbookView xWindow="0" yWindow="0" windowWidth="14265" windowHeight="11910" firstSheet="18" activeTab="18" xr2:uid="{00000000-000D-0000-FFFF-FFFF00000000}"/>
  </bookViews>
  <sheets>
    <sheet name="Section # 1" sheetId="2" r:id="rId1"/>
    <sheet name="Section # 2" sheetId="3" r:id="rId2"/>
    <sheet name="Section # 3" sheetId="4" r:id="rId3"/>
    <sheet name="Section # 4" sheetId="5" r:id="rId4"/>
    <sheet name="Section # 5" sheetId="6" r:id="rId5"/>
    <sheet name="Section # 6" sheetId="7" r:id="rId6"/>
    <sheet name="Section # 7" sheetId="8" r:id="rId7"/>
    <sheet name="Section # 8" sheetId="9" r:id="rId8"/>
    <sheet name="Section # 9" sheetId="10" r:id="rId9"/>
    <sheet name="Section # 10" sheetId="11" r:id="rId10"/>
    <sheet name="Section # 11" sheetId="12" r:id="rId11"/>
    <sheet name="Section # 12" sheetId="13" r:id="rId12"/>
    <sheet name="Section # 13" sheetId="14" r:id="rId13"/>
    <sheet name="Section # 16" sheetId="15" r:id="rId14"/>
    <sheet name="Section # 17" sheetId="16" r:id="rId15"/>
    <sheet name="Section # 18" sheetId="17" r:id="rId16"/>
    <sheet name="Section # 19" sheetId="18" r:id="rId17"/>
    <sheet name="Section # 20" sheetId="19" r:id="rId18"/>
    <sheet name="Section # 21" sheetId="20" r:id="rId19"/>
    <sheet name="Section # 24" sheetId="21" r:id="rId20"/>
    <sheet name="Section # 25" sheetId="22" r:id="rId21"/>
    <sheet name="Section # 27" sheetId="23" r:id="rId22"/>
    <sheet name="Section # 28" sheetId="24" r:id="rId23"/>
    <sheet name="Section # 29" sheetId="25" r:id="rId24"/>
    <sheet name="Section # 30" sheetId="32" r:id="rId25"/>
    <sheet name="Section # 31" sheetId="33" r:id="rId26"/>
    <sheet name="Section # 32" sheetId="34" r:id="rId27"/>
    <sheet name="Section # 33" sheetId="35" r:id="rId28"/>
    <sheet name="Section # 34" sheetId="36" r:id="rId2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4" i="36" l="1"/>
  <c r="R63" i="36"/>
  <c r="R64" i="36" s="1"/>
  <c r="N63" i="36"/>
  <c r="N64" i="36" s="1"/>
  <c r="L63" i="36"/>
  <c r="L64" i="36" s="1"/>
  <c r="J63" i="36"/>
  <c r="M60" i="36"/>
  <c r="R59" i="36"/>
  <c r="N59" i="36"/>
  <c r="L59" i="36"/>
  <c r="Q59" i="36" s="1"/>
  <c r="J59" i="36"/>
  <c r="R58" i="36"/>
  <c r="N58" i="36"/>
  <c r="L58" i="36"/>
  <c r="Q58" i="36" s="1"/>
  <c r="J58" i="36"/>
  <c r="R57" i="36"/>
  <c r="N57" i="36"/>
  <c r="L57" i="36"/>
  <c r="P57" i="36" s="1"/>
  <c r="J57" i="36"/>
  <c r="R56" i="36"/>
  <c r="N56" i="36"/>
  <c r="L56" i="36"/>
  <c r="J56" i="36"/>
  <c r="R55" i="36"/>
  <c r="N55" i="36"/>
  <c r="L55" i="36"/>
  <c r="Q55" i="36" s="1"/>
  <c r="J55" i="36"/>
  <c r="R54" i="36"/>
  <c r="N54" i="36"/>
  <c r="L54" i="36"/>
  <c r="P54" i="36" s="1"/>
  <c r="J54" i="36"/>
  <c r="M51" i="36"/>
  <c r="R50" i="36"/>
  <c r="N50" i="36"/>
  <c r="L50" i="36"/>
  <c r="Q50" i="36" s="1"/>
  <c r="J50" i="36"/>
  <c r="R49" i="36"/>
  <c r="N49" i="36"/>
  <c r="L49" i="36"/>
  <c r="Q49" i="36" s="1"/>
  <c r="J49" i="36"/>
  <c r="R48" i="36"/>
  <c r="N48" i="36"/>
  <c r="L48" i="36"/>
  <c r="Q48" i="36" s="1"/>
  <c r="J48" i="36"/>
  <c r="R47" i="36"/>
  <c r="N47" i="36"/>
  <c r="L47" i="36"/>
  <c r="Q47" i="36" s="1"/>
  <c r="J47" i="36"/>
  <c r="R46" i="36"/>
  <c r="N46" i="36"/>
  <c r="L46" i="36"/>
  <c r="Q46" i="36" s="1"/>
  <c r="J46" i="36"/>
  <c r="R45" i="36"/>
  <c r="N45" i="36"/>
  <c r="L45" i="36"/>
  <c r="Q45" i="36" s="1"/>
  <c r="J45" i="36"/>
  <c r="R44" i="36"/>
  <c r="N44" i="36"/>
  <c r="L44" i="36"/>
  <c r="Q44" i="36" s="1"/>
  <c r="J44" i="36"/>
  <c r="R43" i="36"/>
  <c r="N43" i="36"/>
  <c r="L43" i="36"/>
  <c r="Q43" i="36" s="1"/>
  <c r="J43" i="36"/>
  <c r="R42" i="36"/>
  <c r="N42" i="36"/>
  <c r="L42" i="36"/>
  <c r="Q42" i="36" s="1"/>
  <c r="J42" i="36"/>
  <c r="R41" i="36"/>
  <c r="N41" i="36"/>
  <c r="L41" i="36"/>
  <c r="Q41" i="36" s="1"/>
  <c r="J41" i="36"/>
  <c r="R40" i="36"/>
  <c r="N40" i="36"/>
  <c r="L40" i="36"/>
  <c r="Q40" i="36" s="1"/>
  <c r="J40" i="36"/>
  <c r="R39" i="36"/>
  <c r="N39" i="36"/>
  <c r="L39" i="36"/>
  <c r="Q39" i="36" s="1"/>
  <c r="J39" i="36"/>
  <c r="R38" i="36"/>
  <c r="N38" i="36"/>
  <c r="L38" i="36"/>
  <c r="Q38" i="36" s="1"/>
  <c r="J38" i="36"/>
  <c r="R37" i="36"/>
  <c r="N37" i="36"/>
  <c r="L37" i="36"/>
  <c r="J37" i="36"/>
  <c r="M34" i="36"/>
  <c r="R33" i="36"/>
  <c r="N33" i="36"/>
  <c r="L33" i="36"/>
  <c r="Q33" i="36" s="1"/>
  <c r="J33" i="36"/>
  <c r="R32" i="36"/>
  <c r="N32" i="36"/>
  <c r="L32" i="36"/>
  <c r="Q32" i="36" s="1"/>
  <c r="J32" i="36"/>
  <c r="R31" i="36"/>
  <c r="N31" i="36"/>
  <c r="L31" i="36"/>
  <c r="P31" i="36" s="1"/>
  <c r="J31" i="36"/>
  <c r="R30" i="36"/>
  <c r="N30" i="36"/>
  <c r="L30" i="36"/>
  <c r="Q30" i="36" s="1"/>
  <c r="J30" i="36"/>
  <c r="R29" i="36"/>
  <c r="N29" i="36"/>
  <c r="L29" i="36"/>
  <c r="Q29" i="36" s="1"/>
  <c r="J29" i="36"/>
  <c r="R28" i="36"/>
  <c r="N28" i="36"/>
  <c r="L28" i="36"/>
  <c r="Q28" i="36" s="1"/>
  <c r="J28" i="36"/>
  <c r="R27" i="36"/>
  <c r="N27" i="36"/>
  <c r="L27" i="36"/>
  <c r="P27" i="36" s="1"/>
  <c r="J27" i="36"/>
  <c r="R26" i="36"/>
  <c r="N26" i="36"/>
  <c r="L26" i="36"/>
  <c r="P26" i="36" s="1"/>
  <c r="J26" i="36"/>
  <c r="R25" i="36"/>
  <c r="N25" i="36"/>
  <c r="L25" i="36"/>
  <c r="Q25" i="36" s="1"/>
  <c r="J25" i="36"/>
  <c r="R24" i="36"/>
  <c r="N24" i="36"/>
  <c r="L24" i="36"/>
  <c r="P24" i="36" s="1"/>
  <c r="J24" i="36"/>
  <c r="R23" i="36"/>
  <c r="N23" i="36"/>
  <c r="L23" i="36"/>
  <c r="P23" i="36" s="1"/>
  <c r="J23" i="36"/>
  <c r="R22" i="36"/>
  <c r="N22" i="36"/>
  <c r="L22" i="36"/>
  <c r="Q22" i="36" s="1"/>
  <c r="J22" i="36"/>
  <c r="R21" i="36"/>
  <c r="N21" i="36"/>
  <c r="L21" i="36"/>
  <c r="P21" i="36" s="1"/>
  <c r="J21" i="36"/>
  <c r="R20" i="36"/>
  <c r="N20" i="36"/>
  <c r="L20" i="36"/>
  <c r="Q20" i="36" s="1"/>
  <c r="J20" i="36"/>
  <c r="R19" i="36"/>
  <c r="N19" i="36"/>
  <c r="L19" i="36"/>
  <c r="Q19" i="36" s="1"/>
  <c r="J19" i="36"/>
  <c r="R18" i="36"/>
  <c r="N18" i="36"/>
  <c r="L18" i="36"/>
  <c r="Q18" i="36" s="1"/>
  <c r="J18" i="36"/>
  <c r="R17" i="36"/>
  <c r="N17" i="36"/>
  <c r="L17" i="36"/>
  <c r="Q17" i="36" s="1"/>
  <c r="J17" i="36"/>
  <c r="R16" i="36"/>
  <c r="N16" i="36"/>
  <c r="L16" i="36"/>
  <c r="P16" i="36" s="1"/>
  <c r="J16" i="36"/>
  <c r="R15" i="36"/>
  <c r="N15" i="36"/>
  <c r="L15" i="36"/>
  <c r="Q15" i="36" s="1"/>
  <c r="J15" i="36"/>
  <c r="R14" i="36"/>
  <c r="N14" i="36"/>
  <c r="L14" i="36"/>
  <c r="P14" i="36" s="1"/>
  <c r="J14" i="36"/>
  <c r="R13" i="36"/>
  <c r="N13" i="36"/>
  <c r="L13" i="36"/>
  <c r="Q13" i="36" s="1"/>
  <c r="J13" i="36"/>
  <c r="R12" i="36"/>
  <c r="N12" i="36"/>
  <c r="L12" i="36"/>
  <c r="Q12" i="36" s="1"/>
  <c r="J12" i="36"/>
  <c r="R11" i="36"/>
  <c r="N11" i="36"/>
  <c r="L11" i="36"/>
  <c r="P11" i="36" s="1"/>
  <c r="J11" i="36"/>
  <c r="R10" i="36"/>
  <c r="N10" i="36"/>
  <c r="L10" i="36"/>
  <c r="Q10" i="36" s="1"/>
  <c r="J10" i="36"/>
  <c r="R9" i="36"/>
  <c r="N9" i="36"/>
  <c r="L9" i="36"/>
  <c r="Q9" i="36" s="1"/>
  <c r="J9" i="36"/>
  <c r="R8" i="36"/>
  <c r="N8" i="36"/>
  <c r="L8" i="36"/>
  <c r="Q8" i="36" s="1"/>
  <c r="J8" i="36"/>
  <c r="R7" i="36"/>
  <c r="N7" i="36"/>
  <c r="L7" i="36"/>
  <c r="Q7" i="36" s="1"/>
  <c r="J7" i="36"/>
  <c r="R6" i="36"/>
  <c r="N6" i="36"/>
  <c r="L6" i="36"/>
  <c r="P6" i="36" s="1"/>
  <c r="J6" i="36"/>
  <c r="R5" i="36"/>
  <c r="N5" i="36"/>
  <c r="L5" i="36"/>
  <c r="Q5" i="36" s="1"/>
  <c r="J5" i="36"/>
  <c r="R4" i="36"/>
  <c r="N4" i="36"/>
  <c r="L4" i="36"/>
  <c r="Q4" i="36" s="1"/>
  <c r="J4" i="36"/>
  <c r="R3" i="36"/>
  <c r="N3" i="36"/>
  <c r="L3" i="36"/>
  <c r="J3" i="36"/>
  <c r="R2" i="36"/>
  <c r="N2" i="36"/>
  <c r="L2" i="36"/>
  <c r="J2" i="36"/>
  <c r="M47" i="35"/>
  <c r="R46" i="35"/>
  <c r="N46" i="35"/>
  <c r="L46" i="35"/>
  <c r="Q46" i="35" s="1"/>
  <c r="J46" i="35"/>
  <c r="R45" i="35"/>
  <c r="N45" i="35"/>
  <c r="L45" i="35"/>
  <c r="P45" i="35" s="1"/>
  <c r="J45" i="35"/>
  <c r="R44" i="35"/>
  <c r="N44" i="35"/>
  <c r="L44" i="35"/>
  <c r="P44" i="35" s="1"/>
  <c r="J44" i="35"/>
  <c r="R43" i="35"/>
  <c r="N43" i="35"/>
  <c r="L43" i="35"/>
  <c r="Q43" i="35" s="1"/>
  <c r="J43" i="35"/>
  <c r="R42" i="35"/>
  <c r="N42" i="35"/>
  <c r="L42" i="35"/>
  <c r="J42" i="35"/>
  <c r="M39" i="35"/>
  <c r="R38" i="35"/>
  <c r="R39" i="35" s="1"/>
  <c r="N38" i="35"/>
  <c r="N39" i="35" s="1"/>
  <c r="L38" i="35"/>
  <c r="Q38" i="35" s="1"/>
  <c r="Q39" i="35" s="1"/>
  <c r="J38" i="35"/>
  <c r="M35" i="35"/>
  <c r="R34" i="35"/>
  <c r="N34" i="35"/>
  <c r="L34" i="35"/>
  <c r="P34" i="35" s="1"/>
  <c r="J34" i="35"/>
  <c r="R33" i="35"/>
  <c r="N33" i="35"/>
  <c r="L33" i="35"/>
  <c r="Q33" i="35" s="1"/>
  <c r="J33" i="35"/>
  <c r="R32" i="35"/>
  <c r="N32" i="35"/>
  <c r="L32" i="35"/>
  <c r="Q32" i="35" s="1"/>
  <c r="J32" i="35"/>
  <c r="R31" i="35"/>
  <c r="N31" i="35"/>
  <c r="L31" i="35"/>
  <c r="Q31" i="35" s="1"/>
  <c r="J31" i="35"/>
  <c r="R30" i="35"/>
  <c r="N30" i="35"/>
  <c r="L30" i="35"/>
  <c r="P30" i="35" s="1"/>
  <c r="J30" i="35"/>
  <c r="R29" i="35"/>
  <c r="N29" i="35"/>
  <c r="L29" i="35"/>
  <c r="Q29" i="35" s="1"/>
  <c r="J29" i="35"/>
  <c r="R28" i="35"/>
  <c r="N28" i="35"/>
  <c r="L28" i="35"/>
  <c r="Q28" i="35" s="1"/>
  <c r="J28" i="35"/>
  <c r="R27" i="35"/>
  <c r="N27" i="35"/>
  <c r="L27" i="35"/>
  <c r="Q27" i="35" s="1"/>
  <c r="J27" i="35"/>
  <c r="R26" i="35"/>
  <c r="N26" i="35"/>
  <c r="L26" i="35"/>
  <c r="Q26" i="35" s="1"/>
  <c r="J26" i="35"/>
  <c r="R25" i="35"/>
  <c r="N25" i="35"/>
  <c r="L25" i="35"/>
  <c r="Q25" i="35" s="1"/>
  <c r="J25" i="35"/>
  <c r="R24" i="35"/>
  <c r="N24" i="35"/>
  <c r="L24" i="35"/>
  <c r="P24" i="35" s="1"/>
  <c r="J24" i="35"/>
  <c r="R23" i="35"/>
  <c r="N23" i="35"/>
  <c r="L23" i="35"/>
  <c r="Q23" i="35" s="1"/>
  <c r="J23" i="35"/>
  <c r="R22" i="35"/>
  <c r="N22" i="35"/>
  <c r="L22" i="35"/>
  <c r="Q22" i="35" s="1"/>
  <c r="J22" i="35"/>
  <c r="R21" i="35"/>
  <c r="N21" i="35"/>
  <c r="L21" i="35"/>
  <c r="P21" i="35" s="1"/>
  <c r="J21" i="35"/>
  <c r="R20" i="35"/>
  <c r="N20" i="35"/>
  <c r="L20" i="35"/>
  <c r="P20" i="35" s="1"/>
  <c r="J20" i="35"/>
  <c r="M17" i="35"/>
  <c r="R16" i="35"/>
  <c r="N16" i="35"/>
  <c r="L16" i="35"/>
  <c r="P16" i="35" s="1"/>
  <c r="J16" i="35"/>
  <c r="R15" i="35"/>
  <c r="N15" i="35"/>
  <c r="L15" i="35"/>
  <c r="Q15" i="35" s="1"/>
  <c r="J15" i="35"/>
  <c r="R14" i="35"/>
  <c r="N14" i="35"/>
  <c r="L14" i="35"/>
  <c r="P14" i="35" s="1"/>
  <c r="J14" i="35"/>
  <c r="R13" i="35"/>
  <c r="N13" i="35"/>
  <c r="L13" i="35"/>
  <c r="Q13" i="35" s="1"/>
  <c r="J13" i="35"/>
  <c r="R12" i="35"/>
  <c r="N12" i="35"/>
  <c r="L12" i="35"/>
  <c r="J12" i="35"/>
  <c r="M9" i="35"/>
  <c r="R8" i="35"/>
  <c r="R9" i="35" s="1"/>
  <c r="N8" i="35"/>
  <c r="N9" i="35" s="1"/>
  <c r="L8" i="35"/>
  <c r="L9" i="35" s="1"/>
  <c r="J8" i="35"/>
  <c r="M5" i="35"/>
  <c r="R4" i="35"/>
  <c r="N4" i="35"/>
  <c r="L4" i="35"/>
  <c r="J4" i="35"/>
  <c r="R3" i="35"/>
  <c r="N3" i="35"/>
  <c r="L3" i="35"/>
  <c r="P3" i="35" s="1"/>
  <c r="J3" i="35"/>
  <c r="R2" i="35"/>
  <c r="N2" i="35"/>
  <c r="L2" i="35"/>
  <c r="Q2" i="35" s="1"/>
  <c r="J2" i="35"/>
  <c r="M80" i="34"/>
  <c r="R79" i="34"/>
  <c r="N79" i="34"/>
  <c r="L79" i="34"/>
  <c r="Q79" i="34" s="1"/>
  <c r="J79" i="34"/>
  <c r="R78" i="34"/>
  <c r="N78" i="34"/>
  <c r="L78" i="34"/>
  <c r="Q78" i="34" s="1"/>
  <c r="J78" i="34"/>
  <c r="R77" i="34"/>
  <c r="N77" i="34"/>
  <c r="L77" i="34"/>
  <c r="Q77" i="34" s="1"/>
  <c r="J77" i="34"/>
  <c r="R76" i="34"/>
  <c r="N76" i="34"/>
  <c r="L76" i="34"/>
  <c r="Q76" i="34" s="1"/>
  <c r="J76" i="34"/>
  <c r="R75" i="34"/>
  <c r="N75" i="34"/>
  <c r="L75" i="34"/>
  <c r="Q75" i="34" s="1"/>
  <c r="J75" i="34"/>
  <c r="M72" i="34"/>
  <c r="R71" i="34"/>
  <c r="R72" i="34" s="1"/>
  <c r="N71" i="34"/>
  <c r="N72" i="34" s="1"/>
  <c r="L71" i="34"/>
  <c r="Q71" i="34" s="1"/>
  <c r="Q72" i="34" s="1"/>
  <c r="J71" i="34"/>
  <c r="M68" i="34"/>
  <c r="R67" i="34"/>
  <c r="N67" i="34"/>
  <c r="L67" i="34"/>
  <c r="Q67" i="34" s="1"/>
  <c r="J67" i="34"/>
  <c r="R66" i="34"/>
  <c r="N66" i="34"/>
  <c r="L66" i="34"/>
  <c r="P66" i="34" s="1"/>
  <c r="J66" i="34"/>
  <c r="R65" i="34"/>
  <c r="N65" i="34"/>
  <c r="L65" i="34"/>
  <c r="Q65" i="34" s="1"/>
  <c r="J65" i="34"/>
  <c r="R64" i="34"/>
  <c r="N64" i="34"/>
  <c r="L64" i="34"/>
  <c r="P64" i="34" s="1"/>
  <c r="J64" i="34"/>
  <c r="R63" i="34"/>
  <c r="N63" i="34"/>
  <c r="L63" i="34"/>
  <c r="P63" i="34" s="1"/>
  <c r="J63" i="34"/>
  <c r="R62" i="34"/>
  <c r="N62" i="34"/>
  <c r="L62" i="34"/>
  <c r="Q62" i="34" s="1"/>
  <c r="J62" i="34"/>
  <c r="R61" i="34"/>
  <c r="N61" i="34"/>
  <c r="L61" i="34"/>
  <c r="J61" i="34"/>
  <c r="M58" i="34"/>
  <c r="R57" i="34"/>
  <c r="N57" i="34"/>
  <c r="L57" i="34"/>
  <c r="Q57" i="34" s="1"/>
  <c r="J57" i="34"/>
  <c r="R56" i="34"/>
  <c r="N56" i="34"/>
  <c r="L56" i="34"/>
  <c r="Q56" i="34" s="1"/>
  <c r="J56" i="34"/>
  <c r="R55" i="34"/>
  <c r="N55" i="34"/>
  <c r="L55" i="34"/>
  <c r="P55" i="34" s="1"/>
  <c r="J55" i="34"/>
  <c r="R54" i="34"/>
  <c r="N54" i="34"/>
  <c r="L54" i="34"/>
  <c r="J54" i="34"/>
  <c r="R53" i="34"/>
  <c r="N53" i="34"/>
  <c r="L53" i="34"/>
  <c r="Q53" i="34" s="1"/>
  <c r="J53" i="34"/>
  <c r="M50" i="34"/>
  <c r="R49" i="34"/>
  <c r="N49" i="34"/>
  <c r="L49" i="34"/>
  <c r="Q49" i="34" s="1"/>
  <c r="J49" i="34"/>
  <c r="R48" i="34"/>
  <c r="N48" i="34"/>
  <c r="L48" i="34"/>
  <c r="P48" i="34" s="1"/>
  <c r="J48" i="34"/>
  <c r="R47" i="34"/>
  <c r="N47" i="34"/>
  <c r="L47" i="34"/>
  <c r="Q47" i="34" s="1"/>
  <c r="J47" i="34"/>
  <c r="R46" i="34"/>
  <c r="N46" i="34"/>
  <c r="L46" i="34"/>
  <c r="Q46" i="34" s="1"/>
  <c r="J46" i="34"/>
  <c r="R45" i="34"/>
  <c r="N45" i="34"/>
  <c r="L45" i="34"/>
  <c r="Q45" i="34" s="1"/>
  <c r="J45" i="34"/>
  <c r="R44" i="34"/>
  <c r="N44" i="34"/>
  <c r="L44" i="34"/>
  <c r="Q44" i="34" s="1"/>
  <c r="J44" i="34"/>
  <c r="R43" i="34"/>
  <c r="N43" i="34"/>
  <c r="L43" i="34"/>
  <c r="P43" i="34" s="1"/>
  <c r="J43" i="34"/>
  <c r="R42" i="34"/>
  <c r="N42" i="34"/>
  <c r="L42" i="34"/>
  <c r="P42" i="34" s="1"/>
  <c r="J42" i="34"/>
  <c r="R41" i="34"/>
  <c r="N41" i="34"/>
  <c r="L41" i="34"/>
  <c r="Q41" i="34" s="1"/>
  <c r="J41" i="34"/>
  <c r="R40" i="34"/>
  <c r="N40" i="34"/>
  <c r="L40" i="34"/>
  <c r="Q40" i="34" s="1"/>
  <c r="J40" i="34"/>
  <c r="R39" i="34"/>
  <c r="N39" i="34"/>
  <c r="L39" i="34"/>
  <c r="Q39" i="34" s="1"/>
  <c r="J39" i="34"/>
  <c r="R38" i="34"/>
  <c r="N38" i="34"/>
  <c r="L38" i="34"/>
  <c r="P38" i="34" s="1"/>
  <c r="J38" i="34"/>
  <c r="R37" i="34"/>
  <c r="N37" i="34"/>
  <c r="L37" i="34"/>
  <c r="Q37" i="34" s="1"/>
  <c r="J37" i="34"/>
  <c r="R36" i="34"/>
  <c r="N36" i="34"/>
  <c r="L36" i="34"/>
  <c r="Q36" i="34" s="1"/>
  <c r="J36" i="34"/>
  <c r="R35" i="34"/>
  <c r="N35" i="34"/>
  <c r="L35" i="34"/>
  <c r="Q35" i="34" s="1"/>
  <c r="J35" i="34"/>
  <c r="R34" i="34"/>
  <c r="N34" i="34"/>
  <c r="L34" i="34"/>
  <c r="Q34" i="34" s="1"/>
  <c r="J34" i="34"/>
  <c r="R33" i="34"/>
  <c r="N33" i="34"/>
  <c r="L33" i="34"/>
  <c r="P33" i="34" s="1"/>
  <c r="J33" i="34"/>
  <c r="R32" i="34"/>
  <c r="N32" i="34"/>
  <c r="L32" i="34"/>
  <c r="P32" i="34" s="1"/>
  <c r="J32" i="34"/>
  <c r="R31" i="34"/>
  <c r="N31" i="34"/>
  <c r="L31" i="34"/>
  <c r="Q31" i="34" s="1"/>
  <c r="J31" i="34"/>
  <c r="R30" i="34"/>
  <c r="N30" i="34"/>
  <c r="L30" i="34"/>
  <c r="Q30" i="34" s="1"/>
  <c r="J30" i="34"/>
  <c r="R29" i="34"/>
  <c r="N29" i="34"/>
  <c r="L29" i="34"/>
  <c r="Q29" i="34" s="1"/>
  <c r="J29" i="34"/>
  <c r="R28" i="34"/>
  <c r="N28" i="34"/>
  <c r="L28" i="34"/>
  <c r="Q28" i="34" s="1"/>
  <c r="J28" i="34"/>
  <c r="R27" i="34"/>
  <c r="N27" i="34"/>
  <c r="L27" i="34"/>
  <c r="Q27" i="34" s="1"/>
  <c r="J27" i="34"/>
  <c r="R26" i="34"/>
  <c r="N26" i="34"/>
  <c r="L26" i="34"/>
  <c r="Q26" i="34" s="1"/>
  <c r="J26" i="34"/>
  <c r="R25" i="34"/>
  <c r="N25" i="34"/>
  <c r="L25" i="34"/>
  <c r="P25" i="34" s="1"/>
  <c r="J25" i="34"/>
  <c r="R24" i="34"/>
  <c r="N24" i="34"/>
  <c r="L24" i="34"/>
  <c r="Q24" i="34" s="1"/>
  <c r="J24" i="34"/>
  <c r="R23" i="34"/>
  <c r="N23" i="34"/>
  <c r="L23" i="34"/>
  <c r="Q23" i="34" s="1"/>
  <c r="J23" i="34"/>
  <c r="R22" i="34"/>
  <c r="N22" i="34"/>
  <c r="L22" i="34"/>
  <c r="Q22" i="34" s="1"/>
  <c r="J22" i="34"/>
  <c r="R21" i="34"/>
  <c r="N21" i="34"/>
  <c r="L21" i="34"/>
  <c r="Q21" i="34" s="1"/>
  <c r="J21" i="34"/>
  <c r="R20" i="34"/>
  <c r="N20" i="34"/>
  <c r="L20" i="34"/>
  <c r="Q20" i="34" s="1"/>
  <c r="J20" i="34"/>
  <c r="R19" i="34"/>
  <c r="N19" i="34"/>
  <c r="L19" i="34"/>
  <c r="J19" i="34"/>
  <c r="R18" i="34"/>
  <c r="N18" i="34"/>
  <c r="L18" i="34"/>
  <c r="P18" i="34" s="1"/>
  <c r="J18" i="34"/>
  <c r="M15" i="34"/>
  <c r="R14" i="34"/>
  <c r="N14" i="34"/>
  <c r="L14" i="34"/>
  <c r="P14" i="34" s="1"/>
  <c r="J14" i="34"/>
  <c r="R13" i="34"/>
  <c r="N13" i="34"/>
  <c r="L13" i="34"/>
  <c r="Q13" i="34" s="1"/>
  <c r="J13" i="34"/>
  <c r="R12" i="34"/>
  <c r="N12" i="34"/>
  <c r="L12" i="34"/>
  <c r="Q12" i="34" s="1"/>
  <c r="J12" i="34"/>
  <c r="R11" i="34"/>
  <c r="N11" i="34"/>
  <c r="L11" i="34"/>
  <c r="P11" i="34" s="1"/>
  <c r="J11" i="34"/>
  <c r="R10" i="34"/>
  <c r="N10" i="34"/>
  <c r="L10" i="34"/>
  <c r="Q10" i="34" s="1"/>
  <c r="J10" i="34"/>
  <c r="R9" i="34"/>
  <c r="N9" i="34"/>
  <c r="L9" i="34"/>
  <c r="P9" i="34" s="1"/>
  <c r="J9" i="34"/>
  <c r="R8" i="34"/>
  <c r="N8" i="34"/>
  <c r="L8" i="34"/>
  <c r="Q8" i="34" s="1"/>
  <c r="J8" i="34"/>
  <c r="M5" i="34"/>
  <c r="R4" i="34"/>
  <c r="N4" i="34"/>
  <c r="L4" i="34"/>
  <c r="Q4" i="34" s="1"/>
  <c r="J4" i="34"/>
  <c r="R3" i="34"/>
  <c r="N3" i="34"/>
  <c r="L3" i="34"/>
  <c r="Q3" i="34" s="1"/>
  <c r="J3" i="34"/>
  <c r="R2" i="34"/>
  <c r="N2" i="34"/>
  <c r="L2" i="34"/>
  <c r="P2" i="34" s="1"/>
  <c r="J2" i="34"/>
  <c r="M51" i="33"/>
  <c r="R50" i="33"/>
  <c r="N50" i="33"/>
  <c r="L50" i="33"/>
  <c r="P50" i="33" s="1"/>
  <c r="J50" i="33"/>
  <c r="R49" i="33"/>
  <c r="N49" i="33"/>
  <c r="L49" i="33"/>
  <c r="J49" i="33"/>
  <c r="M44" i="33"/>
  <c r="R43" i="33"/>
  <c r="R44" i="33" s="1"/>
  <c r="N43" i="33"/>
  <c r="N44" i="33" s="1"/>
  <c r="L43" i="33"/>
  <c r="L44" i="33" s="1"/>
  <c r="J43" i="33"/>
  <c r="M40" i="33"/>
  <c r="R39" i="33"/>
  <c r="N39" i="33"/>
  <c r="L39" i="33"/>
  <c r="Q39" i="33" s="1"/>
  <c r="J39" i="33"/>
  <c r="R38" i="33"/>
  <c r="N38" i="33"/>
  <c r="L38" i="33"/>
  <c r="Q38" i="33" s="1"/>
  <c r="J38" i="33"/>
  <c r="R37" i="33"/>
  <c r="N37" i="33"/>
  <c r="L37" i="33"/>
  <c r="P37" i="33" s="1"/>
  <c r="J37" i="33"/>
  <c r="R36" i="33"/>
  <c r="N36" i="33"/>
  <c r="L36" i="33"/>
  <c r="P36" i="33" s="1"/>
  <c r="J36" i="33"/>
  <c r="M33" i="33"/>
  <c r="R32" i="33"/>
  <c r="N32" i="33"/>
  <c r="L32" i="33"/>
  <c r="Q32" i="33" s="1"/>
  <c r="J32" i="33"/>
  <c r="R31" i="33"/>
  <c r="N31" i="33"/>
  <c r="L31" i="33"/>
  <c r="Q31" i="33" s="1"/>
  <c r="J31" i="33"/>
  <c r="R30" i="33"/>
  <c r="N30" i="33"/>
  <c r="L30" i="33"/>
  <c r="Q30" i="33" s="1"/>
  <c r="J30" i="33"/>
  <c r="R29" i="33"/>
  <c r="N29" i="33"/>
  <c r="L29" i="33"/>
  <c r="J29" i="33"/>
  <c r="M26" i="33"/>
  <c r="R25" i="33"/>
  <c r="N25" i="33"/>
  <c r="L25" i="33"/>
  <c r="P25" i="33" s="1"/>
  <c r="J25" i="33"/>
  <c r="R24" i="33"/>
  <c r="N24" i="33"/>
  <c r="L24" i="33"/>
  <c r="Q24" i="33" s="1"/>
  <c r="J24" i="33"/>
  <c r="R23" i="33"/>
  <c r="N23" i="33"/>
  <c r="L23" i="33"/>
  <c r="Q23" i="33" s="1"/>
  <c r="J23" i="33"/>
  <c r="R22" i="33"/>
  <c r="N22" i="33"/>
  <c r="L22" i="33"/>
  <c r="Q22" i="33" s="1"/>
  <c r="J22" i="33"/>
  <c r="R21" i="33"/>
  <c r="N21" i="33"/>
  <c r="L21" i="33"/>
  <c r="P21" i="33" s="1"/>
  <c r="J21" i="33"/>
  <c r="R20" i="33"/>
  <c r="N20" i="33"/>
  <c r="L20" i="33"/>
  <c r="Q20" i="33" s="1"/>
  <c r="J20" i="33"/>
  <c r="R19" i="33"/>
  <c r="N19" i="33"/>
  <c r="L19" i="33"/>
  <c r="P19" i="33" s="1"/>
  <c r="J19" i="33"/>
  <c r="R18" i="33"/>
  <c r="N18" i="33"/>
  <c r="L18" i="33"/>
  <c r="Q18" i="33" s="1"/>
  <c r="J18" i="33"/>
  <c r="R17" i="33"/>
  <c r="N17" i="33"/>
  <c r="L17" i="33"/>
  <c r="Q17" i="33" s="1"/>
  <c r="J17" i="33"/>
  <c r="R16" i="33"/>
  <c r="N16" i="33"/>
  <c r="L16" i="33"/>
  <c r="Q16" i="33" s="1"/>
  <c r="J16" i="33"/>
  <c r="R15" i="33"/>
  <c r="N15" i="33"/>
  <c r="L15" i="33"/>
  <c r="Q15" i="33" s="1"/>
  <c r="J15" i="33"/>
  <c r="R14" i="33"/>
  <c r="N14" i="33"/>
  <c r="L14" i="33"/>
  <c r="Q14" i="33" s="1"/>
  <c r="J14" i="33"/>
  <c r="R13" i="33"/>
  <c r="N13" i="33"/>
  <c r="L13" i="33"/>
  <c r="Q13" i="33" s="1"/>
  <c r="J13" i="33"/>
  <c r="R12" i="33"/>
  <c r="N12" i="33"/>
  <c r="L12" i="33"/>
  <c r="Q12" i="33" s="1"/>
  <c r="J12" i="33"/>
  <c r="R11" i="33"/>
  <c r="N11" i="33"/>
  <c r="L11" i="33"/>
  <c r="P11" i="33" s="1"/>
  <c r="J11" i="33"/>
  <c r="R10" i="33"/>
  <c r="N10" i="33"/>
  <c r="L10" i="33"/>
  <c r="Q10" i="33" s="1"/>
  <c r="J10" i="33"/>
  <c r="R9" i="33"/>
  <c r="N9" i="33"/>
  <c r="L9" i="33"/>
  <c r="P9" i="33" s="1"/>
  <c r="J9" i="33"/>
  <c r="R8" i="33"/>
  <c r="N8" i="33"/>
  <c r="L8" i="33"/>
  <c r="P8" i="33" s="1"/>
  <c r="J8" i="33"/>
  <c r="R7" i="33"/>
  <c r="N7" i="33"/>
  <c r="L7" i="33"/>
  <c r="Q7" i="33" s="1"/>
  <c r="J7" i="33"/>
  <c r="M4" i="33"/>
  <c r="R3" i="33"/>
  <c r="N3" i="33"/>
  <c r="L3" i="33"/>
  <c r="J3" i="33"/>
  <c r="R2" i="33"/>
  <c r="N2" i="33"/>
  <c r="L2" i="33"/>
  <c r="Q2" i="33" s="1"/>
  <c r="J2" i="33"/>
  <c r="M86" i="32"/>
  <c r="R85" i="32"/>
  <c r="N85" i="32"/>
  <c r="L85" i="32"/>
  <c r="Q85" i="32" s="1"/>
  <c r="J85" i="32"/>
  <c r="R84" i="32"/>
  <c r="N84" i="32"/>
  <c r="L84" i="32"/>
  <c r="P84" i="32" s="1"/>
  <c r="J84" i="32"/>
  <c r="R83" i="32"/>
  <c r="N83" i="32"/>
  <c r="L83" i="32"/>
  <c r="Q83" i="32" s="1"/>
  <c r="J83" i="32"/>
  <c r="R82" i="32"/>
  <c r="N82" i="32"/>
  <c r="L82" i="32"/>
  <c r="Q82" i="32" s="1"/>
  <c r="J82" i="32"/>
  <c r="M77" i="32"/>
  <c r="R76" i="32"/>
  <c r="R77" i="32" s="1"/>
  <c r="N76" i="32"/>
  <c r="N77" i="32" s="1"/>
  <c r="L76" i="32"/>
  <c r="Q76" i="32" s="1"/>
  <c r="Q77" i="32" s="1"/>
  <c r="J76" i="32"/>
  <c r="M73" i="32"/>
  <c r="R72" i="32"/>
  <c r="N72" i="32"/>
  <c r="L72" i="32"/>
  <c r="Q72" i="32" s="1"/>
  <c r="J72" i="32"/>
  <c r="R71" i="32"/>
  <c r="N71" i="32"/>
  <c r="L71" i="32"/>
  <c r="P71" i="32" s="1"/>
  <c r="J71" i="32"/>
  <c r="R70" i="32"/>
  <c r="N70" i="32"/>
  <c r="L70" i="32"/>
  <c r="Q70" i="32" s="1"/>
  <c r="J70" i="32"/>
  <c r="R69" i="32"/>
  <c r="N69" i="32"/>
  <c r="L69" i="32"/>
  <c r="Q69" i="32" s="1"/>
  <c r="J69" i="32"/>
  <c r="R68" i="32"/>
  <c r="N68" i="32"/>
  <c r="L68" i="32"/>
  <c r="Q68" i="32" s="1"/>
  <c r="J68" i="32"/>
  <c r="R67" i="32"/>
  <c r="N67" i="32"/>
  <c r="L67" i="32"/>
  <c r="Q67" i="32" s="1"/>
  <c r="J67" i="32"/>
  <c r="R66" i="32"/>
  <c r="N66" i="32"/>
  <c r="L66" i="32"/>
  <c r="Q66" i="32" s="1"/>
  <c r="J66" i="32"/>
  <c r="R65" i="32"/>
  <c r="N65" i="32"/>
  <c r="L65" i="32"/>
  <c r="Q65" i="32" s="1"/>
  <c r="J65" i="32"/>
  <c r="R64" i="32"/>
  <c r="N64" i="32"/>
  <c r="L64" i="32"/>
  <c r="Q64" i="32" s="1"/>
  <c r="J64" i="32"/>
  <c r="R63" i="32"/>
  <c r="N63" i="32"/>
  <c r="L63" i="32"/>
  <c r="Q63" i="32" s="1"/>
  <c r="J63" i="32"/>
  <c r="R62" i="32"/>
  <c r="N62" i="32"/>
  <c r="L62" i="32"/>
  <c r="P62" i="32" s="1"/>
  <c r="J62" i="32"/>
  <c r="R61" i="32"/>
  <c r="N61" i="32"/>
  <c r="L61" i="32"/>
  <c r="P61" i="32" s="1"/>
  <c r="J61" i="32"/>
  <c r="R60" i="32"/>
  <c r="N60" i="32"/>
  <c r="L60" i="32"/>
  <c r="P60" i="32" s="1"/>
  <c r="J60" i="32"/>
  <c r="R59" i="32"/>
  <c r="N59" i="32"/>
  <c r="L59" i="32"/>
  <c r="Q59" i="32" s="1"/>
  <c r="J59" i="32"/>
  <c r="R58" i="32"/>
  <c r="N58" i="32"/>
  <c r="L58" i="32"/>
  <c r="Q58" i="32" s="1"/>
  <c r="J58" i="32"/>
  <c r="R57" i="32"/>
  <c r="N57" i="32"/>
  <c r="L57" i="32"/>
  <c r="Q57" i="32" s="1"/>
  <c r="J57" i="32"/>
  <c r="R56" i="32"/>
  <c r="N56" i="32"/>
  <c r="L56" i="32"/>
  <c r="Q56" i="32" s="1"/>
  <c r="J56" i="32"/>
  <c r="M53" i="32"/>
  <c r="R52" i="32"/>
  <c r="N52" i="32"/>
  <c r="L52" i="32"/>
  <c r="P52" i="32" s="1"/>
  <c r="J52" i="32"/>
  <c r="R51" i="32"/>
  <c r="N51" i="32"/>
  <c r="L51" i="32"/>
  <c r="P51" i="32" s="1"/>
  <c r="J51" i="32"/>
  <c r="R50" i="32"/>
  <c r="N50" i="32"/>
  <c r="L50" i="32"/>
  <c r="Q50" i="32" s="1"/>
  <c r="J50" i="32"/>
  <c r="M47" i="32"/>
  <c r="R46" i="32"/>
  <c r="N46" i="32"/>
  <c r="L46" i="32"/>
  <c r="Q46" i="32" s="1"/>
  <c r="J46" i="32"/>
  <c r="R45" i="32"/>
  <c r="N45" i="32"/>
  <c r="L45" i="32"/>
  <c r="Q45" i="32" s="1"/>
  <c r="J45" i="32"/>
  <c r="R44" i="32"/>
  <c r="N44" i="32"/>
  <c r="L44" i="32"/>
  <c r="Q44" i="32" s="1"/>
  <c r="J44" i="32"/>
  <c r="M40" i="32"/>
  <c r="R39" i="32"/>
  <c r="N39" i="32"/>
  <c r="L39" i="32"/>
  <c r="P39" i="32" s="1"/>
  <c r="J39" i="32"/>
  <c r="R38" i="32"/>
  <c r="N38" i="32"/>
  <c r="L38" i="32"/>
  <c r="P38" i="32" s="1"/>
  <c r="J38" i="32"/>
  <c r="M35" i="32"/>
  <c r="R34" i="32"/>
  <c r="N34" i="32"/>
  <c r="L34" i="32"/>
  <c r="Q34" i="32" s="1"/>
  <c r="J34" i="32"/>
  <c r="R33" i="32"/>
  <c r="N33" i="32"/>
  <c r="L33" i="32"/>
  <c r="Q33" i="32" s="1"/>
  <c r="J33" i="32"/>
  <c r="R32" i="32"/>
  <c r="N32" i="32"/>
  <c r="L32" i="32"/>
  <c r="Q32" i="32" s="1"/>
  <c r="J32" i="32"/>
  <c r="R31" i="32"/>
  <c r="N31" i="32"/>
  <c r="L31" i="32"/>
  <c r="Q31" i="32" s="1"/>
  <c r="J31" i="32"/>
  <c r="R30" i="32"/>
  <c r="N30" i="32"/>
  <c r="L30" i="32"/>
  <c r="Q30" i="32" s="1"/>
  <c r="J30" i="32"/>
  <c r="R29" i="32"/>
  <c r="N29" i="32"/>
  <c r="L29" i="32"/>
  <c r="P29" i="32" s="1"/>
  <c r="J29" i="32"/>
  <c r="R28" i="32"/>
  <c r="N28" i="32"/>
  <c r="L28" i="32"/>
  <c r="P28" i="32" s="1"/>
  <c r="J28" i="32"/>
  <c r="R27" i="32"/>
  <c r="N27" i="32"/>
  <c r="L27" i="32"/>
  <c r="Q27" i="32" s="1"/>
  <c r="J27" i="32"/>
  <c r="R26" i="32"/>
  <c r="N26" i="32"/>
  <c r="L26" i="32"/>
  <c r="P26" i="32" s="1"/>
  <c r="J26" i="32"/>
  <c r="R25" i="32"/>
  <c r="N25" i="32"/>
  <c r="L25" i="32"/>
  <c r="Q25" i="32" s="1"/>
  <c r="J25" i="32"/>
  <c r="R24" i="32"/>
  <c r="N24" i="32"/>
  <c r="L24" i="32"/>
  <c r="Q24" i="32" s="1"/>
  <c r="J24" i="32"/>
  <c r="R23" i="32"/>
  <c r="N23" i="32"/>
  <c r="L23" i="32"/>
  <c r="Q23" i="32" s="1"/>
  <c r="J23" i="32"/>
  <c r="R22" i="32"/>
  <c r="N22" i="32"/>
  <c r="L22" i="32"/>
  <c r="Q22" i="32" s="1"/>
  <c r="J22" i="32"/>
  <c r="R21" i="32"/>
  <c r="N21" i="32"/>
  <c r="L21" i="32"/>
  <c r="Q21" i="32" s="1"/>
  <c r="J21" i="32"/>
  <c r="R20" i="32"/>
  <c r="N20" i="32"/>
  <c r="L20" i="32"/>
  <c r="Q20" i="32" s="1"/>
  <c r="J20" i="32"/>
  <c r="R19" i="32"/>
  <c r="N19" i="32"/>
  <c r="L19" i="32"/>
  <c r="Q19" i="32" s="1"/>
  <c r="J19" i="32"/>
  <c r="R18" i="32"/>
  <c r="N18" i="32"/>
  <c r="L18" i="32"/>
  <c r="Q18" i="32" s="1"/>
  <c r="J18" i="32"/>
  <c r="R17" i="32"/>
  <c r="N17" i="32"/>
  <c r="L17" i="32"/>
  <c r="P17" i="32" s="1"/>
  <c r="J17" i="32"/>
  <c r="R16" i="32"/>
  <c r="N16" i="32"/>
  <c r="L16" i="32"/>
  <c r="Q16" i="32" s="1"/>
  <c r="J16" i="32"/>
  <c r="R15" i="32"/>
  <c r="N15" i="32"/>
  <c r="L15" i="32"/>
  <c r="P15" i="32" s="1"/>
  <c r="J15" i="32"/>
  <c r="M12" i="32"/>
  <c r="R11" i="32"/>
  <c r="N11" i="32"/>
  <c r="L11" i="32"/>
  <c r="Q11" i="32" s="1"/>
  <c r="J11" i="32"/>
  <c r="R10" i="32"/>
  <c r="N10" i="32"/>
  <c r="L10" i="32"/>
  <c r="P10" i="32" s="1"/>
  <c r="J10" i="32"/>
  <c r="R9" i="32"/>
  <c r="N9" i="32"/>
  <c r="L9" i="32"/>
  <c r="P9" i="32" s="1"/>
  <c r="J9" i="32"/>
  <c r="R8" i="32"/>
  <c r="N8" i="32"/>
  <c r="L8" i="32"/>
  <c r="P8" i="32" s="1"/>
  <c r="J8" i="32"/>
  <c r="R7" i="32"/>
  <c r="N7" i="32"/>
  <c r="L7" i="32"/>
  <c r="Q7" i="32" s="1"/>
  <c r="J7" i="32"/>
  <c r="R6" i="32"/>
  <c r="N6" i="32"/>
  <c r="L6" i="32"/>
  <c r="Q6" i="32" s="1"/>
  <c r="J6" i="32"/>
  <c r="R5" i="32"/>
  <c r="N5" i="32"/>
  <c r="L5" i="32"/>
  <c r="Q5" i="32" s="1"/>
  <c r="J5" i="32"/>
  <c r="R4" i="32"/>
  <c r="N4" i="32"/>
  <c r="L4" i="32"/>
  <c r="P4" i="32" s="1"/>
  <c r="J4" i="32"/>
  <c r="R3" i="32"/>
  <c r="N3" i="32"/>
  <c r="L3" i="32"/>
  <c r="P3" i="32" s="1"/>
  <c r="J3" i="32"/>
  <c r="R2" i="32"/>
  <c r="N2" i="32"/>
  <c r="L2" i="32"/>
  <c r="Q2" i="32" s="1"/>
  <c r="J2" i="32"/>
  <c r="M59" i="25"/>
  <c r="R58" i="25"/>
  <c r="N58" i="25"/>
  <c r="L58" i="25"/>
  <c r="Q58" i="25" s="1"/>
  <c r="J58" i="25"/>
  <c r="R57" i="25"/>
  <c r="N57" i="25"/>
  <c r="L57" i="25"/>
  <c r="Q57" i="25" s="1"/>
  <c r="J57" i="25"/>
  <c r="R56" i="25"/>
  <c r="N56" i="25"/>
  <c r="L56" i="25"/>
  <c r="Q56" i="25" s="1"/>
  <c r="J56" i="25"/>
  <c r="R55" i="25"/>
  <c r="N55" i="25"/>
  <c r="L55" i="25"/>
  <c r="Q55" i="25" s="1"/>
  <c r="J55" i="25"/>
  <c r="R54" i="25"/>
  <c r="N54" i="25"/>
  <c r="L54" i="25"/>
  <c r="Q54" i="25" s="1"/>
  <c r="J54" i="25"/>
  <c r="R53" i="25"/>
  <c r="N53" i="25"/>
  <c r="L53" i="25"/>
  <c r="P53" i="25" s="1"/>
  <c r="J53" i="25"/>
  <c r="R52" i="25"/>
  <c r="N52" i="25"/>
  <c r="L52" i="25"/>
  <c r="Q52" i="25" s="1"/>
  <c r="J52" i="25"/>
  <c r="M49" i="25"/>
  <c r="R48" i="25"/>
  <c r="N48" i="25"/>
  <c r="L48" i="25"/>
  <c r="Q48" i="25" s="1"/>
  <c r="J48" i="25"/>
  <c r="R47" i="25"/>
  <c r="N47" i="25"/>
  <c r="L47" i="25"/>
  <c r="P47" i="25" s="1"/>
  <c r="J47" i="25"/>
  <c r="R46" i="25"/>
  <c r="N46" i="25"/>
  <c r="L46" i="25"/>
  <c r="Q46" i="25" s="1"/>
  <c r="J46" i="25"/>
  <c r="R45" i="25"/>
  <c r="N45" i="25"/>
  <c r="L45" i="25"/>
  <c r="Q45" i="25" s="1"/>
  <c r="J45" i="25"/>
  <c r="R44" i="25"/>
  <c r="N44" i="25"/>
  <c r="L44" i="25"/>
  <c r="Q44" i="25" s="1"/>
  <c r="J44" i="25"/>
  <c r="R43" i="25"/>
  <c r="N43" i="25"/>
  <c r="L43" i="25"/>
  <c r="Q43" i="25" s="1"/>
  <c r="J43" i="25"/>
  <c r="R42" i="25"/>
  <c r="N42" i="25"/>
  <c r="L42" i="25"/>
  <c r="Q42" i="25" s="1"/>
  <c r="J42" i="25"/>
  <c r="R41" i="25"/>
  <c r="N41" i="25"/>
  <c r="L41" i="25"/>
  <c r="P41" i="25" s="1"/>
  <c r="J41" i="25"/>
  <c r="R40" i="25"/>
  <c r="N40" i="25"/>
  <c r="L40" i="25"/>
  <c r="Q40" i="25" s="1"/>
  <c r="J40" i="25"/>
  <c r="M37" i="25"/>
  <c r="R36" i="25"/>
  <c r="N36" i="25"/>
  <c r="L36" i="25"/>
  <c r="Q36" i="25" s="1"/>
  <c r="J36" i="25"/>
  <c r="R35" i="25"/>
  <c r="N35" i="25"/>
  <c r="L35" i="25"/>
  <c r="Q35" i="25" s="1"/>
  <c r="J35" i="25"/>
  <c r="R34" i="25"/>
  <c r="N34" i="25"/>
  <c r="L34" i="25"/>
  <c r="P34" i="25" s="1"/>
  <c r="J34" i="25"/>
  <c r="R33" i="25"/>
  <c r="N33" i="25"/>
  <c r="L33" i="25"/>
  <c r="Q33" i="25" s="1"/>
  <c r="J33" i="25"/>
  <c r="R32" i="25"/>
  <c r="N32" i="25"/>
  <c r="L32" i="25"/>
  <c r="Q32" i="25" s="1"/>
  <c r="J32" i="25"/>
  <c r="R31" i="25"/>
  <c r="N31" i="25"/>
  <c r="L31" i="25"/>
  <c r="Q31" i="25" s="1"/>
  <c r="J31" i="25"/>
  <c r="R30" i="25"/>
  <c r="N30" i="25"/>
  <c r="L30" i="25"/>
  <c r="P30" i="25" s="1"/>
  <c r="J30" i="25"/>
  <c r="R29" i="25"/>
  <c r="N29" i="25"/>
  <c r="L29" i="25"/>
  <c r="J29" i="25"/>
  <c r="R28" i="25"/>
  <c r="N28" i="25"/>
  <c r="L28" i="25"/>
  <c r="Q28" i="25" s="1"/>
  <c r="J28" i="25"/>
  <c r="M25" i="25"/>
  <c r="R24" i="25"/>
  <c r="R25" i="25" s="1"/>
  <c r="N24" i="25"/>
  <c r="N25" i="25" s="1"/>
  <c r="L24" i="25"/>
  <c r="L25" i="25" s="1"/>
  <c r="J24" i="25"/>
  <c r="M21" i="25"/>
  <c r="R20" i="25"/>
  <c r="N20" i="25"/>
  <c r="L20" i="25"/>
  <c r="Q20" i="25" s="1"/>
  <c r="J20" i="25"/>
  <c r="R19" i="25"/>
  <c r="N19" i="25"/>
  <c r="L19" i="25"/>
  <c r="P19" i="25" s="1"/>
  <c r="J19" i="25"/>
  <c r="R18" i="25"/>
  <c r="N18" i="25"/>
  <c r="L18" i="25"/>
  <c r="P18" i="25" s="1"/>
  <c r="J18" i="25"/>
  <c r="R17" i="25"/>
  <c r="N17" i="25"/>
  <c r="L17" i="25"/>
  <c r="Q17" i="25" s="1"/>
  <c r="J17" i="25"/>
  <c r="R16" i="25"/>
  <c r="N16" i="25"/>
  <c r="L16" i="25"/>
  <c r="Q16" i="25" s="1"/>
  <c r="J16" i="25"/>
  <c r="R15" i="25"/>
  <c r="N15" i="25"/>
  <c r="L15" i="25"/>
  <c r="Q15" i="25" s="1"/>
  <c r="J15" i="25"/>
  <c r="R14" i="25"/>
  <c r="N14" i="25"/>
  <c r="L14" i="25"/>
  <c r="Q14" i="25" s="1"/>
  <c r="J14" i="25"/>
  <c r="R13" i="25"/>
  <c r="N13" i="25"/>
  <c r="L13" i="25"/>
  <c r="Q13" i="25" s="1"/>
  <c r="J13" i="25"/>
  <c r="R12" i="25"/>
  <c r="N12" i="25"/>
  <c r="L12" i="25"/>
  <c r="Q12" i="25" s="1"/>
  <c r="J12" i="25"/>
  <c r="R11" i="25"/>
  <c r="N11" i="25"/>
  <c r="L11" i="25"/>
  <c r="Q11" i="25" s="1"/>
  <c r="J11" i="25"/>
  <c r="R10" i="25"/>
  <c r="N10" i="25"/>
  <c r="L10" i="25"/>
  <c r="Q10" i="25" s="1"/>
  <c r="J10" i="25"/>
  <c r="R9" i="25"/>
  <c r="N9" i="25"/>
  <c r="L9" i="25"/>
  <c r="P9" i="25" s="1"/>
  <c r="J9" i="25"/>
  <c r="R8" i="25"/>
  <c r="N8" i="25"/>
  <c r="L8" i="25"/>
  <c r="J8" i="25"/>
  <c r="R7" i="25"/>
  <c r="N7" i="25"/>
  <c r="L7" i="25"/>
  <c r="Q7" i="25" s="1"/>
  <c r="J7" i="25"/>
  <c r="M4" i="25"/>
  <c r="R3" i="25"/>
  <c r="N3" i="25"/>
  <c r="L3" i="25"/>
  <c r="J3" i="25"/>
  <c r="R2" i="25"/>
  <c r="N2" i="25"/>
  <c r="L2" i="25"/>
  <c r="Q2" i="25" s="1"/>
  <c r="J2" i="25"/>
  <c r="M77" i="24"/>
  <c r="R76" i="24"/>
  <c r="N76" i="24"/>
  <c r="L76" i="24"/>
  <c r="Q76" i="24" s="1"/>
  <c r="J76" i="24"/>
  <c r="R75" i="24"/>
  <c r="N75" i="24"/>
  <c r="L75" i="24"/>
  <c r="J75" i="24"/>
  <c r="M72" i="24"/>
  <c r="R71" i="24"/>
  <c r="R72" i="24" s="1"/>
  <c r="N71" i="24"/>
  <c r="N72" i="24" s="1"/>
  <c r="L71" i="24"/>
  <c r="L72" i="24" s="1"/>
  <c r="J71" i="24"/>
  <c r="M68" i="24"/>
  <c r="R67" i="24"/>
  <c r="N67" i="24"/>
  <c r="L67" i="24"/>
  <c r="Q67" i="24" s="1"/>
  <c r="J67" i="24"/>
  <c r="R66" i="24"/>
  <c r="N66" i="24"/>
  <c r="L66" i="24"/>
  <c r="Q66" i="24" s="1"/>
  <c r="J66" i="24"/>
  <c r="R65" i="24"/>
  <c r="N65" i="24"/>
  <c r="L65" i="24"/>
  <c r="Q65" i="24" s="1"/>
  <c r="J65" i="24"/>
  <c r="R64" i="24"/>
  <c r="N64" i="24"/>
  <c r="L64" i="24"/>
  <c r="J64" i="24"/>
  <c r="R63" i="24"/>
  <c r="N63" i="24"/>
  <c r="L63" i="24"/>
  <c r="Q63" i="24" s="1"/>
  <c r="J63" i="24"/>
  <c r="M60" i="24"/>
  <c r="R59" i="24"/>
  <c r="N59" i="24"/>
  <c r="L59" i="24"/>
  <c r="Q59" i="24" s="1"/>
  <c r="J59" i="24"/>
  <c r="R58" i="24"/>
  <c r="N58" i="24"/>
  <c r="L58" i="24"/>
  <c r="J58" i="24"/>
  <c r="R57" i="24"/>
  <c r="N57" i="24"/>
  <c r="L57" i="24"/>
  <c r="Q57" i="24" s="1"/>
  <c r="J57" i="24"/>
  <c r="M54" i="24"/>
  <c r="R53" i="24"/>
  <c r="N53" i="24"/>
  <c r="L53" i="24"/>
  <c r="Q53" i="24" s="1"/>
  <c r="J53" i="24"/>
  <c r="R52" i="24"/>
  <c r="N52" i="24"/>
  <c r="L52" i="24"/>
  <c r="Q52" i="24" s="1"/>
  <c r="J52" i="24"/>
  <c r="R51" i="24"/>
  <c r="N51" i="24"/>
  <c r="L51" i="24"/>
  <c r="Q51" i="24" s="1"/>
  <c r="J51" i="24"/>
  <c r="R50" i="24"/>
  <c r="N50" i="24"/>
  <c r="L50" i="24"/>
  <c r="J50" i="24"/>
  <c r="R49" i="24"/>
  <c r="N49" i="24"/>
  <c r="L49" i="24"/>
  <c r="P49" i="24" s="1"/>
  <c r="J49" i="24"/>
  <c r="M46" i="24"/>
  <c r="R45" i="24"/>
  <c r="R46" i="24" s="1"/>
  <c r="N45" i="24"/>
  <c r="N46" i="24" s="1"/>
  <c r="L45" i="24"/>
  <c r="L46" i="24" s="1"/>
  <c r="J45" i="24"/>
  <c r="M42" i="24"/>
  <c r="R41" i="24"/>
  <c r="N41" i="24"/>
  <c r="L41" i="24"/>
  <c r="Q41" i="24" s="1"/>
  <c r="J41" i="24"/>
  <c r="R40" i="24"/>
  <c r="N40" i="24"/>
  <c r="L40" i="24"/>
  <c r="Q40" i="24" s="1"/>
  <c r="J40" i="24"/>
  <c r="R39" i="24"/>
  <c r="N39" i="24"/>
  <c r="L39" i="24"/>
  <c r="J39" i="24"/>
  <c r="M36" i="24"/>
  <c r="R35" i="24"/>
  <c r="R36" i="24" s="1"/>
  <c r="N35" i="24"/>
  <c r="N36" i="24" s="1"/>
  <c r="L35" i="24"/>
  <c r="Q35" i="24" s="1"/>
  <c r="Q36" i="24" s="1"/>
  <c r="J35" i="24"/>
  <c r="M32" i="24"/>
  <c r="R31" i="24"/>
  <c r="R32" i="24" s="1"/>
  <c r="N31" i="24"/>
  <c r="N32" i="24" s="1"/>
  <c r="L31" i="24"/>
  <c r="L32" i="24" s="1"/>
  <c r="J31" i="24"/>
  <c r="M28" i="24"/>
  <c r="R27" i="24"/>
  <c r="N27" i="24"/>
  <c r="L27" i="24"/>
  <c r="Q27" i="24" s="1"/>
  <c r="J27" i="24"/>
  <c r="R26" i="24"/>
  <c r="N26" i="24"/>
  <c r="L26" i="24"/>
  <c r="J26" i="24"/>
  <c r="R25" i="24"/>
  <c r="N25" i="24"/>
  <c r="L25" i="24"/>
  <c r="P25" i="24" s="1"/>
  <c r="J25" i="24"/>
  <c r="R24" i="24"/>
  <c r="N24" i="24"/>
  <c r="L24" i="24"/>
  <c r="Q24" i="24" s="1"/>
  <c r="J24" i="24"/>
  <c r="R23" i="24"/>
  <c r="N23" i="24"/>
  <c r="L23" i="24"/>
  <c r="Q23" i="24" s="1"/>
  <c r="J23" i="24"/>
  <c r="R22" i="24"/>
  <c r="N22" i="24"/>
  <c r="L22" i="24"/>
  <c r="J22" i="24"/>
  <c r="M19" i="24"/>
  <c r="R18" i="24"/>
  <c r="N18" i="24"/>
  <c r="L18" i="24"/>
  <c r="Q18" i="24" s="1"/>
  <c r="J18" i="24"/>
  <c r="R17" i="24"/>
  <c r="N17" i="24"/>
  <c r="L17" i="24"/>
  <c r="J17" i="24"/>
  <c r="R16" i="24"/>
  <c r="N16" i="24"/>
  <c r="L16" i="24"/>
  <c r="P16" i="24" s="1"/>
  <c r="J16" i="24"/>
  <c r="R15" i="24"/>
  <c r="N15" i="24"/>
  <c r="L15" i="24"/>
  <c r="Q15" i="24" s="1"/>
  <c r="J15" i="24"/>
  <c r="R14" i="24"/>
  <c r="N14" i="24"/>
  <c r="L14" i="24"/>
  <c r="Q14" i="24" s="1"/>
  <c r="J14" i="24"/>
  <c r="R13" i="24"/>
  <c r="N13" i="24"/>
  <c r="L13" i="24"/>
  <c r="Q13" i="24" s="1"/>
  <c r="J13" i="24"/>
  <c r="R12" i="24"/>
  <c r="N12" i="24"/>
  <c r="L12" i="24"/>
  <c r="Q12" i="24" s="1"/>
  <c r="J12" i="24"/>
  <c r="R11" i="24"/>
  <c r="N11" i="24"/>
  <c r="L11" i="24"/>
  <c r="Q11" i="24" s="1"/>
  <c r="J11" i="24"/>
  <c r="R10" i="24"/>
  <c r="N10" i="24"/>
  <c r="L10" i="24"/>
  <c r="Q10" i="24" s="1"/>
  <c r="J10" i="24"/>
  <c r="R9" i="24"/>
  <c r="N9" i="24"/>
  <c r="L9" i="24"/>
  <c r="P9" i="24" s="1"/>
  <c r="J9" i="24"/>
  <c r="R8" i="24"/>
  <c r="N8" i="24"/>
  <c r="L8" i="24"/>
  <c r="Q8" i="24" s="1"/>
  <c r="J8" i="24"/>
  <c r="R7" i="24"/>
  <c r="N7" i="24"/>
  <c r="L7" i="24"/>
  <c r="J7" i="24"/>
  <c r="R6" i="24"/>
  <c r="N6" i="24"/>
  <c r="L6" i="24"/>
  <c r="Q6" i="24" s="1"/>
  <c r="J6" i="24"/>
  <c r="M3" i="24"/>
  <c r="R2" i="24"/>
  <c r="R3" i="24" s="1"/>
  <c r="N2" i="24"/>
  <c r="N3" i="24" s="1"/>
  <c r="L2" i="24"/>
  <c r="L3" i="24" s="1"/>
  <c r="J2" i="24"/>
  <c r="M111" i="23"/>
  <c r="R110" i="23"/>
  <c r="R111" i="23" s="1"/>
  <c r="N110" i="23"/>
  <c r="N111" i="23" s="1"/>
  <c r="L110" i="23"/>
  <c r="L111" i="23" s="1"/>
  <c r="J110" i="23"/>
  <c r="M107" i="23"/>
  <c r="R106" i="23"/>
  <c r="N106" i="23"/>
  <c r="L106" i="23"/>
  <c r="P106" i="23" s="1"/>
  <c r="J106" i="23"/>
  <c r="R105" i="23"/>
  <c r="N105" i="23"/>
  <c r="L105" i="23"/>
  <c r="Q105" i="23" s="1"/>
  <c r="J105" i="23"/>
  <c r="R104" i="23"/>
  <c r="N104" i="23"/>
  <c r="L104" i="23"/>
  <c r="P104" i="23" s="1"/>
  <c r="J104" i="23"/>
  <c r="R103" i="23"/>
  <c r="N103" i="23"/>
  <c r="L103" i="23"/>
  <c r="Q103" i="23" s="1"/>
  <c r="J103" i="23"/>
  <c r="R102" i="23"/>
  <c r="N102" i="23"/>
  <c r="L102" i="23"/>
  <c r="Q102" i="23" s="1"/>
  <c r="J102" i="23"/>
  <c r="R101" i="23"/>
  <c r="N101" i="23"/>
  <c r="L101" i="23"/>
  <c r="P101" i="23" s="1"/>
  <c r="J101" i="23"/>
  <c r="R100" i="23"/>
  <c r="N100" i="23"/>
  <c r="L100" i="23"/>
  <c r="P100" i="23" s="1"/>
  <c r="J100" i="23"/>
  <c r="R99" i="23"/>
  <c r="N99" i="23"/>
  <c r="L99" i="23"/>
  <c r="P99" i="23" s="1"/>
  <c r="J99" i="23"/>
  <c r="R98" i="23"/>
  <c r="N98" i="23"/>
  <c r="L98" i="23"/>
  <c r="Q98" i="23" s="1"/>
  <c r="J98" i="23"/>
  <c r="R97" i="23"/>
  <c r="N97" i="23"/>
  <c r="L97" i="23"/>
  <c r="P97" i="23" s="1"/>
  <c r="J97" i="23"/>
  <c r="R96" i="23"/>
  <c r="N96" i="23"/>
  <c r="L96" i="23"/>
  <c r="Q96" i="23" s="1"/>
  <c r="J96" i="23"/>
  <c r="R95" i="23"/>
  <c r="N95" i="23"/>
  <c r="L95" i="23"/>
  <c r="Q95" i="23" s="1"/>
  <c r="J95" i="23"/>
  <c r="R94" i="23"/>
  <c r="N94" i="23"/>
  <c r="L94" i="23"/>
  <c r="P94" i="23" s="1"/>
  <c r="J94" i="23"/>
  <c r="R93" i="23"/>
  <c r="N93" i="23"/>
  <c r="L93" i="23"/>
  <c r="Q93" i="23" s="1"/>
  <c r="J93" i="23"/>
  <c r="R92" i="23"/>
  <c r="N92" i="23"/>
  <c r="L92" i="23"/>
  <c r="Q92" i="23" s="1"/>
  <c r="J92" i="23"/>
  <c r="R91" i="23"/>
  <c r="N91" i="23"/>
  <c r="L91" i="23"/>
  <c r="Q91" i="23" s="1"/>
  <c r="J91" i="23"/>
  <c r="R90" i="23"/>
  <c r="N90" i="23"/>
  <c r="L90" i="23"/>
  <c r="P90" i="23" s="1"/>
  <c r="J90" i="23"/>
  <c r="R89" i="23"/>
  <c r="N89" i="23"/>
  <c r="L89" i="23"/>
  <c r="P89" i="23" s="1"/>
  <c r="J89" i="23"/>
  <c r="R88" i="23"/>
  <c r="N88" i="23"/>
  <c r="L88" i="23"/>
  <c r="Q88" i="23" s="1"/>
  <c r="J88" i="23"/>
  <c r="R87" i="23"/>
  <c r="N87" i="23"/>
  <c r="L87" i="23"/>
  <c r="Q87" i="23" s="1"/>
  <c r="J87" i="23"/>
  <c r="R86" i="23"/>
  <c r="N86" i="23"/>
  <c r="L86" i="23"/>
  <c r="Q86" i="23" s="1"/>
  <c r="J86" i="23"/>
  <c r="R85" i="23"/>
  <c r="N85" i="23"/>
  <c r="L85" i="23"/>
  <c r="Q85" i="23" s="1"/>
  <c r="J85" i="23"/>
  <c r="R84" i="23"/>
  <c r="N84" i="23"/>
  <c r="L84" i="23"/>
  <c r="P84" i="23" s="1"/>
  <c r="J84" i="23"/>
  <c r="R83" i="23"/>
  <c r="N83" i="23"/>
  <c r="L83" i="23"/>
  <c r="Q83" i="23" s="1"/>
  <c r="J83" i="23"/>
  <c r="R82" i="23"/>
  <c r="N82" i="23"/>
  <c r="L82" i="23"/>
  <c r="Q82" i="23" s="1"/>
  <c r="J82" i="23"/>
  <c r="R81" i="23"/>
  <c r="N81" i="23"/>
  <c r="L81" i="23"/>
  <c r="Q81" i="23" s="1"/>
  <c r="J81" i="23"/>
  <c r="R80" i="23"/>
  <c r="N80" i="23"/>
  <c r="L80" i="23"/>
  <c r="P80" i="23" s="1"/>
  <c r="J80" i="23"/>
  <c r="R79" i="23"/>
  <c r="N79" i="23"/>
  <c r="L79" i="23"/>
  <c r="P79" i="23" s="1"/>
  <c r="J79" i="23"/>
  <c r="R78" i="23"/>
  <c r="N78" i="23"/>
  <c r="L78" i="23"/>
  <c r="Q78" i="23" s="1"/>
  <c r="J78" i="23"/>
  <c r="R77" i="23"/>
  <c r="N77" i="23"/>
  <c r="L77" i="23"/>
  <c r="P77" i="23" s="1"/>
  <c r="J77" i="23"/>
  <c r="R76" i="23"/>
  <c r="N76" i="23"/>
  <c r="L76" i="23"/>
  <c r="Q76" i="23" s="1"/>
  <c r="J76" i="23"/>
  <c r="R75" i="23"/>
  <c r="N75" i="23"/>
  <c r="L75" i="23"/>
  <c r="Q75" i="23" s="1"/>
  <c r="J75" i="23"/>
  <c r="R74" i="23"/>
  <c r="N74" i="23"/>
  <c r="L74" i="23"/>
  <c r="Q74" i="23" s="1"/>
  <c r="J74" i="23"/>
  <c r="R73" i="23"/>
  <c r="N73" i="23"/>
  <c r="L73" i="23"/>
  <c r="Q73" i="23" s="1"/>
  <c r="J73" i="23"/>
  <c r="R72" i="23"/>
  <c r="N72" i="23"/>
  <c r="L72" i="23"/>
  <c r="Q72" i="23" s="1"/>
  <c r="J72" i="23"/>
  <c r="R71" i="23"/>
  <c r="N71" i="23"/>
  <c r="L71" i="23"/>
  <c r="Q71" i="23" s="1"/>
  <c r="J71" i="23"/>
  <c r="R70" i="23"/>
  <c r="N70" i="23"/>
  <c r="L70" i="23"/>
  <c r="P70" i="23" s="1"/>
  <c r="J70" i="23"/>
  <c r="R69" i="23"/>
  <c r="N69" i="23"/>
  <c r="L69" i="23"/>
  <c r="P69" i="23" s="1"/>
  <c r="J69" i="23"/>
  <c r="R68" i="23"/>
  <c r="N68" i="23"/>
  <c r="L68" i="23"/>
  <c r="Q68" i="23" s="1"/>
  <c r="J68" i="23"/>
  <c r="R67" i="23"/>
  <c r="N67" i="23"/>
  <c r="L67" i="23"/>
  <c r="Q67" i="23" s="1"/>
  <c r="J67" i="23"/>
  <c r="R66" i="23"/>
  <c r="N66" i="23"/>
  <c r="L66" i="23"/>
  <c r="Q66" i="23" s="1"/>
  <c r="J66" i="23"/>
  <c r="R65" i="23"/>
  <c r="N65" i="23"/>
  <c r="L65" i="23"/>
  <c r="Q65" i="23" s="1"/>
  <c r="J65" i="23"/>
  <c r="R64" i="23"/>
  <c r="N64" i="23"/>
  <c r="L64" i="23"/>
  <c r="P64" i="23" s="1"/>
  <c r="J64" i="23"/>
  <c r="R63" i="23"/>
  <c r="N63" i="23"/>
  <c r="L63" i="23"/>
  <c r="Q63" i="23" s="1"/>
  <c r="J63" i="23"/>
  <c r="R62" i="23"/>
  <c r="N62" i="23"/>
  <c r="L62" i="23"/>
  <c r="Q62" i="23" s="1"/>
  <c r="J62" i="23"/>
  <c r="R61" i="23"/>
  <c r="N61" i="23"/>
  <c r="L61" i="23"/>
  <c r="Q61" i="23" s="1"/>
  <c r="J61" i="23"/>
  <c r="R60" i="23"/>
  <c r="N60" i="23"/>
  <c r="L60" i="23"/>
  <c r="P60" i="23" s="1"/>
  <c r="J60" i="23"/>
  <c r="R59" i="23"/>
  <c r="N59" i="23"/>
  <c r="L59" i="23"/>
  <c r="P59" i="23" s="1"/>
  <c r="J59" i="23"/>
  <c r="R58" i="23"/>
  <c r="N58" i="23"/>
  <c r="L58" i="23"/>
  <c r="Q58" i="23" s="1"/>
  <c r="J58" i="23"/>
  <c r="R57" i="23"/>
  <c r="N57" i="23"/>
  <c r="L57" i="23"/>
  <c r="Q57" i="23" s="1"/>
  <c r="J57" i="23"/>
  <c r="R56" i="23"/>
  <c r="N56" i="23"/>
  <c r="L56" i="23"/>
  <c r="Q56" i="23" s="1"/>
  <c r="J56" i="23"/>
  <c r="R55" i="23"/>
  <c r="N55" i="23"/>
  <c r="L55" i="23"/>
  <c r="Q55" i="23" s="1"/>
  <c r="J55" i="23"/>
  <c r="R54" i="23"/>
  <c r="N54" i="23"/>
  <c r="L54" i="23"/>
  <c r="P54" i="23" s="1"/>
  <c r="J54" i="23"/>
  <c r="R53" i="23"/>
  <c r="N53" i="23"/>
  <c r="L53" i="23"/>
  <c r="Q53" i="23" s="1"/>
  <c r="J53" i="23"/>
  <c r="R52" i="23"/>
  <c r="N52" i="23"/>
  <c r="L52" i="23"/>
  <c r="Q52" i="23" s="1"/>
  <c r="J52" i="23"/>
  <c r="R51" i="23"/>
  <c r="N51" i="23"/>
  <c r="L51" i="23"/>
  <c r="Q51" i="23" s="1"/>
  <c r="J51" i="23"/>
  <c r="R50" i="23"/>
  <c r="N50" i="23"/>
  <c r="L50" i="23"/>
  <c r="P50" i="23" s="1"/>
  <c r="J50" i="23"/>
  <c r="R49" i="23"/>
  <c r="N49" i="23"/>
  <c r="L49" i="23"/>
  <c r="P49" i="23" s="1"/>
  <c r="J49" i="23"/>
  <c r="R48" i="23"/>
  <c r="N48" i="23"/>
  <c r="L48" i="23"/>
  <c r="Q48" i="23" s="1"/>
  <c r="J48" i="23"/>
  <c r="R47" i="23"/>
  <c r="N47" i="23"/>
  <c r="L47" i="23"/>
  <c r="P47" i="23" s="1"/>
  <c r="J47" i="23"/>
  <c r="R46" i="23"/>
  <c r="N46" i="23"/>
  <c r="L46" i="23"/>
  <c r="P46" i="23" s="1"/>
  <c r="J46" i="23"/>
  <c r="R45" i="23"/>
  <c r="N45" i="23"/>
  <c r="L45" i="23"/>
  <c r="Q45" i="23" s="1"/>
  <c r="J45" i="23"/>
  <c r="R44" i="23"/>
  <c r="N44" i="23"/>
  <c r="L44" i="23"/>
  <c r="Q44" i="23" s="1"/>
  <c r="J44" i="23"/>
  <c r="R43" i="23"/>
  <c r="N43" i="23"/>
  <c r="L43" i="23"/>
  <c r="Q43" i="23" s="1"/>
  <c r="J43" i="23"/>
  <c r="R42" i="23"/>
  <c r="N42" i="23"/>
  <c r="L42" i="23"/>
  <c r="Q42" i="23" s="1"/>
  <c r="J42" i="23"/>
  <c r="R41" i="23"/>
  <c r="N41" i="23"/>
  <c r="L41" i="23"/>
  <c r="Q41" i="23" s="1"/>
  <c r="J41" i="23"/>
  <c r="R40" i="23"/>
  <c r="N40" i="23"/>
  <c r="L40" i="23"/>
  <c r="P40" i="23" s="1"/>
  <c r="J40" i="23"/>
  <c r="R39" i="23"/>
  <c r="N39" i="23"/>
  <c r="L39" i="23"/>
  <c r="P39" i="23" s="1"/>
  <c r="J39" i="23"/>
  <c r="R38" i="23"/>
  <c r="N38" i="23"/>
  <c r="L38" i="23"/>
  <c r="Q38" i="23" s="1"/>
  <c r="J38" i="23"/>
  <c r="R37" i="23"/>
  <c r="N37" i="23"/>
  <c r="L37" i="23"/>
  <c r="Q37" i="23" s="1"/>
  <c r="J37" i="23"/>
  <c r="R36" i="23"/>
  <c r="N36" i="23"/>
  <c r="L36" i="23"/>
  <c r="P36" i="23" s="1"/>
  <c r="J36" i="23"/>
  <c r="R35" i="23"/>
  <c r="N35" i="23"/>
  <c r="L35" i="23"/>
  <c r="Q35" i="23" s="1"/>
  <c r="J35" i="23"/>
  <c r="R34" i="23"/>
  <c r="N34" i="23"/>
  <c r="L34" i="23"/>
  <c r="P34" i="23" s="1"/>
  <c r="J34" i="23"/>
  <c r="R33" i="23"/>
  <c r="N33" i="23"/>
  <c r="L33" i="23"/>
  <c r="Q33" i="23" s="1"/>
  <c r="J33" i="23"/>
  <c r="R32" i="23"/>
  <c r="N32" i="23"/>
  <c r="L32" i="23"/>
  <c r="Q32" i="23" s="1"/>
  <c r="J32" i="23"/>
  <c r="R31" i="23"/>
  <c r="N31" i="23"/>
  <c r="L31" i="23"/>
  <c r="Q31" i="23" s="1"/>
  <c r="J31" i="23"/>
  <c r="R30" i="23"/>
  <c r="N30" i="23"/>
  <c r="L30" i="23"/>
  <c r="P30" i="23" s="1"/>
  <c r="J30" i="23"/>
  <c r="M27" i="23"/>
  <c r="R26" i="23"/>
  <c r="N26" i="23"/>
  <c r="L26" i="23"/>
  <c r="P26" i="23" s="1"/>
  <c r="J26" i="23"/>
  <c r="R25" i="23"/>
  <c r="N25" i="23"/>
  <c r="L25" i="23"/>
  <c r="P25" i="23" s="1"/>
  <c r="J25" i="23"/>
  <c r="R24" i="23"/>
  <c r="N24" i="23"/>
  <c r="L24" i="23"/>
  <c r="Q24" i="23" s="1"/>
  <c r="J24" i="23"/>
  <c r="R23" i="23"/>
  <c r="N23" i="23"/>
  <c r="L23" i="23"/>
  <c r="Q23" i="23" s="1"/>
  <c r="J23" i="23"/>
  <c r="R22" i="23"/>
  <c r="N22" i="23"/>
  <c r="L22" i="23"/>
  <c r="Q22" i="23" s="1"/>
  <c r="J22" i="23"/>
  <c r="R21" i="23"/>
  <c r="N21" i="23"/>
  <c r="L21" i="23"/>
  <c r="Q21" i="23" s="1"/>
  <c r="J21" i="23"/>
  <c r="R20" i="23"/>
  <c r="N20" i="23"/>
  <c r="L20" i="23"/>
  <c r="Q20" i="23" s="1"/>
  <c r="J20" i="23"/>
  <c r="R19" i="23"/>
  <c r="N19" i="23"/>
  <c r="L19" i="23"/>
  <c r="P19" i="23" s="1"/>
  <c r="J19" i="23"/>
  <c r="R18" i="23"/>
  <c r="N18" i="23"/>
  <c r="L18" i="23"/>
  <c r="P18" i="23" s="1"/>
  <c r="J18" i="23"/>
  <c r="R17" i="23"/>
  <c r="N17" i="23"/>
  <c r="L17" i="23"/>
  <c r="Q17" i="23" s="1"/>
  <c r="J17" i="23"/>
  <c r="R16" i="23"/>
  <c r="N16" i="23"/>
  <c r="L16" i="23"/>
  <c r="P16" i="23" s="1"/>
  <c r="J16" i="23"/>
  <c r="R15" i="23"/>
  <c r="N15" i="23"/>
  <c r="L15" i="23"/>
  <c r="Q15" i="23" s="1"/>
  <c r="J15" i="23"/>
  <c r="R14" i="23"/>
  <c r="N14" i="23"/>
  <c r="L14" i="23"/>
  <c r="Q14" i="23" s="1"/>
  <c r="J14" i="23"/>
  <c r="R13" i="23"/>
  <c r="N13" i="23"/>
  <c r="L13" i="23"/>
  <c r="J13" i="23"/>
  <c r="M10" i="23"/>
  <c r="R9" i="23"/>
  <c r="N9" i="23"/>
  <c r="L9" i="23"/>
  <c r="P9" i="23" s="1"/>
  <c r="J9" i="23"/>
  <c r="R8" i="23"/>
  <c r="N8" i="23"/>
  <c r="L8" i="23"/>
  <c r="P8" i="23" s="1"/>
  <c r="J8" i="23"/>
  <c r="R7" i="23"/>
  <c r="N7" i="23"/>
  <c r="L7" i="23"/>
  <c r="P7" i="23" s="1"/>
  <c r="J7" i="23"/>
  <c r="R6" i="23"/>
  <c r="N6" i="23"/>
  <c r="L6" i="23"/>
  <c r="Q6" i="23" s="1"/>
  <c r="J6" i="23"/>
  <c r="R5" i="23"/>
  <c r="N5" i="23"/>
  <c r="L5" i="23"/>
  <c r="Q5" i="23" s="1"/>
  <c r="J5" i="23"/>
  <c r="R4" i="23"/>
  <c r="N4" i="23"/>
  <c r="L4" i="23"/>
  <c r="Q4" i="23" s="1"/>
  <c r="J4" i="23"/>
  <c r="R3" i="23"/>
  <c r="N3" i="23"/>
  <c r="L3" i="23"/>
  <c r="J3" i="23"/>
  <c r="R2" i="23"/>
  <c r="N2" i="23"/>
  <c r="L2" i="23"/>
  <c r="Q2" i="23" s="1"/>
  <c r="J2" i="23"/>
  <c r="M14" i="22"/>
  <c r="R13" i="22"/>
  <c r="N13" i="22"/>
  <c r="L13" i="22"/>
  <c r="Q13" i="22" s="1"/>
  <c r="J13" i="22"/>
  <c r="R12" i="22"/>
  <c r="N12" i="22"/>
  <c r="L12" i="22"/>
  <c r="J12" i="22"/>
  <c r="R11" i="22"/>
  <c r="N11" i="22"/>
  <c r="L11" i="22"/>
  <c r="Q11" i="22" s="1"/>
  <c r="J11" i="22"/>
  <c r="M8" i="22"/>
  <c r="R7" i="22"/>
  <c r="R8" i="22" s="1"/>
  <c r="N7" i="22"/>
  <c r="N8" i="22" s="1"/>
  <c r="L7" i="22"/>
  <c r="P7" i="22" s="1"/>
  <c r="J7" i="22"/>
  <c r="M4" i="22"/>
  <c r="R3" i="22"/>
  <c r="N3" i="22"/>
  <c r="L3" i="22"/>
  <c r="Q3" i="22" s="1"/>
  <c r="J3" i="22"/>
  <c r="R2" i="22"/>
  <c r="N2" i="22"/>
  <c r="N4" i="22" s="1"/>
  <c r="L2" i="22"/>
  <c r="Q2" i="22" s="1"/>
  <c r="Q4" i="22" s="1"/>
  <c r="J2" i="22"/>
  <c r="M29" i="21"/>
  <c r="R28" i="21"/>
  <c r="R29" i="21" s="1"/>
  <c r="N28" i="21"/>
  <c r="N29" i="21" s="1"/>
  <c r="L28" i="21"/>
  <c r="L29" i="21" s="1"/>
  <c r="J28" i="21"/>
  <c r="M25" i="21"/>
  <c r="R24" i="21"/>
  <c r="N24" i="21"/>
  <c r="L24" i="21"/>
  <c r="Q24" i="21" s="1"/>
  <c r="J24" i="21"/>
  <c r="R23" i="21"/>
  <c r="N23" i="21"/>
  <c r="L23" i="21"/>
  <c r="Q23" i="21" s="1"/>
  <c r="J23" i="21"/>
  <c r="R22" i="21"/>
  <c r="N22" i="21"/>
  <c r="L22" i="21"/>
  <c r="Q22" i="21" s="1"/>
  <c r="J22" i="21"/>
  <c r="R21" i="21"/>
  <c r="N21" i="21"/>
  <c r="L21" i="21"/>
  <c r="P21" i="21" s="1"/>
  <c r="J21" i="21"/>
  <c r="R20" i="21"/>
  <c r="N20" i="21"/>
  <c r="L20" i="21"/>
  <c r="Q20" i="21" s="1"/>
  <c r="J20" i="21"/>
  <c r="R19" i="21"/>
  <c r="N19" i="21"/>
  <c r="L19" i="21"/>
  <c r="Q19" i="21" s="1"/>
  <c r="J19" i="21"/>
  <c r="M16" i="21"/>
  <c r="R15" i="21"/>
  <c r="N15" i="21"/>
  <c r="L15" i="21"/>
  <c r="Q15" i="21" s="1"/>
  <c r="J15" i="21"/>
  <c r="R14" i="21"/>
  <c r="N14" i="21"/>
  <c r="L14" i="21"/>
  <c r="P14" i="21" s="1"/>
  <c r="J14" i="21"/>
  <c r="R13" i="21"/>
  <c r="N13" i="21"/>
  <c r="L13" i="21"/>
  <c r="Q13" i="21" s="1"/>
  <c r="J13" i="21"/>
  <c r="R12" i="21"/>
  <c r="N12" i="21"/>
  <c r="L12" i="21"/>
  <c r="Q12" i="21" s="1"/>
  <c r="J12" i="21"/>
  <c r="R11" i="21"/>
  <c r="N11" i="21"/>
  <c r="L11" i="21"/>
  <c r="Q11" i="21" s="1"/>
  <c r="J11" i="21"/>
  <c r="R10" i="21"/>
  <c r="N10" i="21"/>
  <c r="L10" i="21"/>
  <c r="Q10" i="21" s="1"/>
  <c r="J10" i="21"/>
  <c r="R9" i="21"/>
  <c r="N9" i="21"/>
  <c r="L9" i="21"/>
  <c r="J9" i="21"/>
  <c r="R8" i="21"/>
  <c r="N8" i="21"/>
  <c r="L8" i="21"/>
  <c r="Q8" i="21" s="1"/>
  <c r="J8" i="21"/>
  <c r="R7" i="21"/>
  <c r="N7" i="21"/>
  <c r="L7" i="21"/>
  <c r="P7" i="21" s="1"/>
  <c r="J7" i="21"/>
  <c r="M4" i="21"/>
  <c r="R3" i="21"/>
  <c r="N3" i="21"/>
  <c r="L3" i="21"/>
  <c r="J3" i="21"/>
  <c r="R2" i="21"/>
  <c r="N2" i="21"/>
  <c r="L2" i="21"/>
  <c r="Q2" i="21" s="1"/>
  <c r="J2" i="21"/>
  <c r="M52" i="20"/>
  <c r="R51" i="20"/>
  <c r="N51" i="20"/>
  <c r="L51" i="20"/>
  <c r="Q51" i="20" s="1"/>
  <c r="J51" i="20"/>
  <c r="R50" i="20"/>
  <c r="N50" i="20"/>
  <c r="L50" i="20"/>
  <c r="Q50" i="20" s="1"/>
  <c r="J50" i="20"/>
  <c r="R49" i="20"/>
  <c r="N49" i="20"/>
  <c r="L49" i="20"/>
  <c r="P49" i="20" s="1"/>
  <c r="J49" i="20"/>
  <c r="R48" i="20"/>
  <c r="N48" i="20"/>
  <c r="L48" i="20"/>
  <c r="Q48" i="20" s="1"/>
  <c r="J48" i="20"/>
  <c r="R47" i="20"/>
  <c r="N47" i="20"/>
  <c r="L47" i="20"/>
  <c r="J47" i="20"/>
  <c r="R46" i="20"/>
  <c r="N46" i="20"/>
  <c r="L46" i="20"/>
  <c r="Q46" i="20" s="1"/>
  <c r="J46" i="20"/>
  <c r="M43" i="20"/>
  <c r="R42" i="20"/>
  <c r="N42" i="20"/>
  <c r="L42" i="20"/>
  <c r="Q42" i="20" s="1"/>
  <c r="J42" i="20"/>
  <c r="R41" i="20"/>
  <c r="N41" i="20"/>
  <c r="L41" i="20"/>
  <c r="Q41" i="20" s="1"/>
  <c r="J41" i="20"/>
  <c r="R40" i="20"/>
  <c r="N40" i="20"/>
  <c r="L40" i="20"/>
  <c r="Q40" i="20" s="1"/>
  <c r="J40" i="20"/>
  <c r="R39" i="20"/>
  <c r="N39" i="20"/>
  <c r="L39" i="20"/>
  <c r="Q39" i="20" s="1"/>
  <c r="J39" i="20"/>
  <c r="M36" i="20"/>
  <c r="R35" i="20"/>
  <c r="N35" i="20"/>
  <c r="L35" i="20"/>
  <c r="Q35" i="20" s="1"/>
  <c r="J35" i="20"/>
  <c r="R34" i="20"/>
  <c r="N34" i="20"/>
  <c r="L34" i="20"/>
  <c r="P34" i="20" s="1"/>
  <c r="J34" i="20"/>
  <c r="R33" i="20"/>
  <c r="N33" i="20"/>
  <c r="L33" i="20"/>
  <c r="P33" i="20" s="1"/>
  <c r="J33" i="20"/>
  <c r="M30" i="20"/>
  <c r="R29" i="20"/>
  <c r="N29" i="20"/>
  <c r="L29" i="20"/>
  <c r="Q29" i="20" s="1"/>
  <c r="J29" i="20"/>
  <c r="R28" i="20"/>
  <c r="N28" i="20"/>
  <c r="L28" i="20"/>
  <c r="P28" i="20" s="1"/>
  <c r="J28" i="20"/>
  <c r="R27" i="20"/>
  <c r="N27" i="20"/>
  <c r="L27" i="20"/>
  <c r="Q27" i="20" s="1"/>
  <c r="J27" i="20"/>
  <c r="M24" i="20"/>
  <c r="R23" i="20"/>
  <c r="N23" i="20"/>
  <c r="L23" i="20"/>
  <c r="P23" i="20" s="1"/>
  <c r="J23" i="20"/>
  <c r="R22" i="20"/>
  <c r="N22" i="20"/>
  <c r="L22" i="20"/>
  <c r="P22" i="20" s="1"/>
  <c r="J22" i="20"/>
  <c r="R21" i="20"/>
  <c r="N21" i="20"/>
  <c r="L21" i="20"/>
  <c r="Q21" i="20" s="1"/>
  <c r="J21" i="20"/>
  <c r="R20" i="20"/>
  <c r="N20" i="20"/>
  <c r="L20" i="20"/>
  <c r="Q20" i="20" s="1"/>
  <c r="J20" i="20"/>
  <c r="R19" i="20"/>
  <c r="N19" i="20"/>
  <c r="L19" i="20"/>
  <c r="J19" i="20"/>
  <c r="M16" i="20"/>
  <c r="R15" i="20"/>
  <c r="N15" i="20"/>
  <c r="L15" i="20"/>
  <c r="Q15" i="20" s="1"/>
  <c r="J15" i="20"/>
  <c r="R14" i="20"/>
  <c r="N14" i="20"/>
  <c r="L14" i="20"/>
  <c r="P14" i="20" s="1"/>
  <c r="J14" i="20"/>
  <c r="R13" i="20"/>
  <c r="N13" i="20"/>
  <c r="L13" i="20"/>
  <c r="Q13" i="20" s="1"/>
  <c r="J13" i="20"/>
  <c r="R12" i="20"/>
  <c r="N12" i="20"/>
  <c r="L12" i="20"/>
  <c r="J12" i="20"/>
  <c r="R11" i="20"/>
  <c r="N11" i="20"/>
  <c r="L11" i="20"/>
  <c r="Q11" i="20" s="1"/>
  <c r="J11" i="20"/>
  <c r="R10" i="20"/>
  <c r="N10" i="20"/>
  <c r="L10" i="20"/>
  <c r="Q10" i="20" s="1"/>
  <c r="J10" i="20"/>
  <c r="M7" i="20"/>
  <c r="R6" i="20"/>
  <c r="N6" i="20"/>
  <c r="L6" i="20"/>
  <c r="P6" i="20" s="1"/>
  <c r="J6" i="20"/>
  <c r="R5" i="20"/>
  <c r="N5" i="20"/>
  <c r="L5" i="20"/>
  <c r="Q5" i="20" s="1"/>
  <c r="J5" i="20"/>
  <c r="R4" i="20"/>
  <c r="N4" i="20"/>
  <c r="L4" i="20"/>
  <c r="Q4" i="20" s="1"/>
  <c r="J4" i="20"/>
  <c r="R3" i="20"/>
  <c r="N3" i="20"/>
  <c r="L3" i="20"/>
  <c r="Q3" i="20" s="1"/>
  <c r="J3" i="20"/>
  <c r="R2" i="20"/>
  <c r="N2" i="20"/>
  <c r="L2" i="20"/>
  <c r="P2" i="20" s="1"/>
  <c r="J2" i="20"/>
  <c r="M56" i="19"/>
  <c r="R55" i="19"/>
  <c r="N55" i="19"/>
  <c r="L55" i="19"/>
  <c r="Q55" i="19" s="1"/>
  <c r="J55" i="19"/>
  <c r="R54" i="19"/>
  <c r="N54" i="19"/>
  <c r="L54" i="19"/>
  <c r="Q54" i="19" s="1"/>
  <c r="J54" i="19"/>
  <c r="R53" i="19"/>
  <c r="N53" i="19"/>
  <c r="L53" i="19"/>
  <c r="P53" i="19" s="1"/>
  <c r="J53" i="19"/>
  <c r="R52" i="19"/>
  <c r="N52" i="19"/>
  <c r="L52" i="19"/>
  <c r="Q52" i="19" s="1"/>
  <c r="J52" i="19"/>
  <c r="R51" i="19"/>
  <c r="N51" i="19"/>
  <c r="L51" i="19"/>
  <c r="Q51" i="19" s="1"/>
  <c r="J51" i="19"/>
  <c r="R50" i="19"/>
  <c r="N50" i="19"/>
  <c r="L50" i="19"/>
  <c r="Q50" i="19" s="1"/>
  <c r="J50" i="19"/>
  <c r="R49" i="19"/>
  <c r="N49" i="19"/>
  <c r="L49" i="19"/>
  <c r="Q49" i="19" s="1"/>
  <c r="J49" i="19"/>
  <c r="R48" i="19"/>
  <c r="N48" i="19"/>
  <c r="L48" i="19"/>
  <c r="Q48" i="19" s="1"/>
  <c r="J48" i="19"/>
  <c r="R47" i="19"/>
  <c r="N47" i="19"/>
  <c r="L47" i="19"/>
  <c r="J47" i="19"/>
  <c r="R46" i="19"/>
  <c r="N46" i="19"/>
  <c r="L46" i="19"/>
  <c r="Q46" i="19" s="1"/>
  <c r="J46" i="19"/>
  <c r="M43" i="19"/>
  <c r="R42" i="19"/>
  <c r="R43" i="19" s="1"/>
  <c r="N42" i="19"/>
  <c r="N43" i="19" s="1"/>
  <c r="L42" i="19"/>
  <c r="L43" i="19" s="1"/>
  <c r="J42" i="19"/>
  <c r="M39" i="19"/>
  <c r="R38" i="19"/>
  <c r="N38" i="19"/>
  <c r="L38" i="19"/>
  <c r="Q38" i="19" s="1"/>
  <c r="J38" i="19"/>
  <c r="R37" i="19"/>
  <c r="N37" i="19"/>
  <c r="L37" i="19"/>
  <c r="Q37" i="19" s="1"/>
  <c r="J37" i="19"/>
  <c r="R36" i="19"/>
  <c r="N36" i="19"/>
  <c r="L36" i="19"/>
  <c r="Q36" i="19" s="1"/>
  <c r="J36" i="19"/>
  <c r="R35" i="19"/>
  <c r="N35" i="19"/>
  <c r="L35" i="19"/>
  <c r="Q35" i="19" s="1"/>
  <c r="J35" i="19"/>
  <c r="R34" i="19"/>
  <c r="N34" i="19"/>
  <c r="L34" i="19"/>
  <c r="Q34" i="19" s="1"/>
  <c r="J34" i="19"/>
  <c r="R33" i="19"/>
  <c r="N33" i="19"/>
  <c r="L33" i="19"/>
  <c r="P33" i="19" s="1"/>
  <c r="J33" i="19"/>
  <c r="R32" i="19"/>
  <c r="N32" i="19"/>
  <c r="L32" i="19"/>
  <c r="Q32" i="19" s="1"/>
  <c r="J32" i="19"/>
  <c r="R31" i="19"/>
  <c r="N31" i="19"/>
  <c r="L31" i="19"/>
  <c r="Q31" i="19" s="1"/>
  <c r="J31" i="19"/>
  <c r="R30" i="19"/>
  <c r="N30" i="19"/>
  <c r="L30" i="19"/>
  <c r="Q30" i="19" s="1"/>
  <c r="J30" i="19"/>
  <c r="R29" i="19"/>
  <c r="N29" i="19"/>
  <c r="L29" i="19"/>
  <c r="Q29" i="19" s="1"/>
  <c r="J29" i="19"/>
  <c r="R28" i="19"/>
  <c r="N28" i="19"/>
  <c r="L28" i="19"/>
  <c r="J28" i="19"/>
  <c r="M25" i="19"/>
  <c r="R24" i="19"/>
  <c r="N24" i="19"/>
  <c r="L24" i="19"/>
  <c r="P24" i="19" s="1"/>
  <c r="J24" i="19"/>
  <c r="R23" i="19"/>
  <c r="R25" i="19" s="1"/>
  <c r="N23" i="19"/>
  <c r="L23" i="19"/>
  <c r="P23" i="19" s="1"/>
  <c r="J23" i="19"/>
  <c r="M20" i="19"/>
  <c r="R19" i="19"/>
  <c r="R20" i="19" s="1"/>
  <c r="N19" i="19"/>
  <c r="N20" i="19" s="1"/>
  <c r="L19" i="19"/>
  <c r="Q19" i="19" s="1"/>
  <c r="Q20" i="19" s="1"/>
  <c r="J19" i="19"/>
  <c r="M16" i="19"/>
  <c r="R15" i="19"/>
  <c r="N15" i="19"/>
  <c r="L15" i="19"/>
  <c r="Q15" i="19" s="1"/>
  <c r="J15" i="19"/>
  <c r="R14" i="19"/>
  <c r="N14" i="19"/>
  <c r="L14" i="19"/>
  <c r="Q14" i="19" s="1"/>
  <c r="J14" i="19"/>
  <c r="R13" i="19"/>
  <c r="N13" i="19"/>
  <c r="L13" i="19"/>
  <c r="P13" i="19" s="1"/>
  <c r="J13" i="19"/>
  <c r="R12" i="19"/>
  <c r="N12" i="19"/>
  <c r="L12" i="19"/>
  <c r="P12" i="19" s="1"/>
  <c r="J12" i="19"/>
  <c r="R11" i="19"/>
  <c r="N11" i="19"/>
  <c r="L11" i="19"/>
  <c r="Q11" i="19" s="1"/>
  <c r="J11" i="19"/>
  <c r="R10" i="19"/>
  <c r="N10" i="19"/>
  <c r="L10" i="19"/>
  <c r="Q10" i="19" s="1"/>
  <c r="J10" i="19"/>
  <c r="R9" i="19"/>
  <c r="N9" i="19"/>
  <c r="L9" i="19"/>
  <c r="Q9" i="19" s="1"/>
  <c r="J9" i="19"/>
  <c r="R8" i="19"/>
  <c r="N8" i="19"/>
  <c r="L8" i="19"/>
  <c r="Q8" i="19" s="1"/>
  <c r="J8" i="19"/>
  <c r="R7" i="19"/>
  <c r="N7" i="19"/>
  <c r="L7" i="19"/>
  <c r="P7" i="19" s="1"/>
  <c r="J7" i="19"/>
  <c r="R6" i="19"/>
  <c r="N6" i="19"/>
  <c r="L6" i="19"/>
  <c r="Q6" i="19" s="1"/>
  <c r="J6" i="19"/>
  <c r="R5" i="19"/>
  <c r="N5" i="19"/>
  <c r="L5" i="19"/>
  <c r="Q5" i="19" s="1"/>
  <c r="J5" i="19"/>
  <c r="R4" i="19"/>
  <c r="N4" i="19"/>
  <c r="L4" i="19"/>
  <c r="Q4" i="19" s="1"/>
  <c r="J4" i="19"/>
  <c r="R3" i="19"/>
  <c r="N3" i="19"/>
  <c r="L3" i="19"/>
  <c r="P3" i="19" s="1"/>
  <c r="J3" i="19"/>
  <c r="R2" i="19"/>
  <c r="N2" i="19"/>
  <c r="L2" i="19"/>
  <c r="P2" i="19" s="1"/>
  <c r="J2" i="19"/>
  <c r="M63" i="18"/>
  <c r="R62" i="18"/>
  <c r="N62" i="18"/>
  <c r="L62" i="18"/>
  <c r="Q62" i="18" s="1"/>
  <c r="J62" i="18"/>
  <c r="R61" i="18"/>
  <c r="N61" i="18"/>
  <c r="L61" i="18"/>
  <c r="Q61" i="18" s="1"/>
  <c r="J61" i="18"/>
  <c r="R60" i="18"/>
  <c r="N60" i="18"/>
  <c r="L60" i="18"/>
  <c r="Q60" i="18" s="1"/>
  <c r="J60" i="18"/>
  <c r="R59" i="18"/>
  <c r="N59" i="18"/>
  <c r="L59" i="18"/>
  <c r="P59" i="18" s="1"/>
  <c r="J59" i="18"/>
  <c r="R58" i="18"/>
  <c r="N58" i="18"/>
  <c r="L58" i="18"/>
  <c r="Q58" i="18" s="1"/>
  <c r="J58" i="18"/>
  <c r="R57" i="18"/>
  <c r="N57" i="18"/>
  <c r="L57" i="18"/>
  <c r="Q57" i="18" s="1"/>
  <c r="J57" i="18"/>
  <c r="R56" i="18"/>
  <c r="N56" i="18"/>
  <c r="L56" i="18"/>
  <c r="Q56" i="18" s="1"/>
  <c r="J56" i="18"/>
  <c r="R55" i="18"/>
  <c r="N55" i="18"/>
  <c r="L55" i="18"/>
  <c r="Q55" i="18" s="1"/>
  <c r="J55" i="18"/>
  <c r="R54" i="18"/>
  <c r="N54" i="18"/>
  <c r="L54" i="18"/>
  <c r="J54" i="18"/>
  <c r="R53" i="18"/>
  <c r="N53" i="18"/>
  <c r="L53" i="18"/>
  <c r="Q53" i="18" s="1"/>
  <c r="J53" i="18"/>
  <c r="M50" i="18"/>
  <c r="R49" i="18"/>
  <c r="N49" i="18"/>
  <c r="L49" i="18"/>
  <c r="Q49" i="18" s="1"/>
  <c r="J49" i="18"/>
  <c r="R48" i="18"/>
  <c r="N48" i="18"/>
  <c r="L48" i="18"/>
  <c r="Q48" i="18" s="1"/>
  <c r="J48" i="18"/>
  <c r="R47" i="18"/>
  <c r="N47" i="18"/>
  <c r="L47" i="18"/>
  <c r="Q47" i="18" s="1"/>
  <c r="J47" i="18"/>
  <c r="R46" i="18"/>
  <c r="N46" i="18"/>
  <c r="L46" i="18"/>
  <c r="Q46" i="18" s="1"/>
  <c r="J46" i="18"/>
  <c r="R45" i="18"/>
  <c r="N45" i="18"/>
  <c r="L45" i="18"/>
  <c r="Q45" i="18" s="1"/>
  <c r="J45" i="18"/>
  <c r="R44" i="18"/>
  <c r="N44" i="18"/>
  <c r="L44" i="18"/>
  <c r="Q44" i="18" s="1"/>
  <c r="J44" i="18"/>
  <c r="R43" i="18"/>
  <c r="N43" i="18"/>
  <c r="L43" i="18"/>
  <c r="Q43" i="18" s="1"/>
  <c r="J43" i="18"/>
  <c r="M40" i="18"/>
  <c r="R39" i="18"/>
  <c r="N39" i="18"/>
  <c r="L39" i="18"/>
  <c r="Q39" i="18" s="1"/>
  <c r="J39" i="18"/>
  <c r="R38" i="18"/>
  <c r="N38" i="18"/>
  <c r="L38" i="18"/>
  <c r="Q38" i="18" s="1"/>
  <c r="J38" i="18"/>
  <c r="R37" i="18"/>
  <c r="N37" i="18"/>
  <c r="L37" i="18"/>
  <c r="Q37" i="18" s="1"/>
  <c r="J37" i="18"/>
  <c r="R36" i="18"/>
  <c r="N36" i="18"/>
  <c r="L36" i="18"/>
  <c r="Q36" i="18" s="1"/>
  <c r="J36" i="18"/>
  <c r="R35" i="18"/>
  <c r="N35" i="18"/>
  <c r="L35" i="18"/>
  <c r="Q35" i="18" s="1"/>
  <c r="J35" i="18"/>
  <c r="R34" i="18"/>
  <c r="N34" i="18"/>
  <c r="L34" i="18"/>
  <c r="P34" i="18" s="1"/>
  <c r="J34" i="18"/>
  <c r="R33" i="18"/>
  <c r="N33" i="18"/>
  <c r="L33" i="18"/>
  <c r="Q33" i="18" s="1"/>
  <c r="J33" i="18"/>
  <c r="R32" i="18"/>
  <c r="N32" i="18"/>
  <c r="L32" i="18"/>
  <c r="Q32" i="18" s="1"/>
  <c r="J32" i="18"/>
  <c r="R31" i="18"/>
  <c r="N31" i="18"/>
  <c r="L31" i="18"/>
  <c r="Q31" i="18" s="1"/>
  <c r="J31" i="18"/>
  <c r="R30" i="18"/>
  <c r="N30" i="18"/>
  <c r="L30" i="18"/>
  <c r="P30" i="18" s="1"/>
  <c r="J30" i="18"/>
  <c r="R29" i="18"/>
  <c r="N29" i="18"/>
  <c r="L29" i="18"/>
  <c r="Q29" i="18" s="1"/>
  <c r="J29" i="18"/>
  <c r="R28" i="18"/>
  <c r="N28" i="18"/>
  <c r="L28" i="18"/>
  <c r="Q28" i="18" s="1"/>
  <c r="J28" i="18"/>
  <c r="R27" i="18"/>
  <c r="N27" i="18"/>
  <c r="L27" i="18"/>
  <c r="P27" i="18" s="1"/>
  <c r="J27" i="18"/>
  <c r="M24" i="18"/>
  <c r="R23" i="18"/>
  <c r="N23" i="18"/>
  <c r="L23" i="18"/>
  <c r="P23" i="18" s="1"/>
  <c r="J23" i="18"/>
  <c r="R22" i="18"/>
  <c r="N22" i="18"/>
  <c r="L22" i="18"/>
  <c r="Q22" i="18" s="1"/>
  <c r="J22" i="18"/>
  <c r="R21" i="18"/>
  <c r="N21" i="18"/>
  <c r="L21" i="18"/>
  <c r="P21" i="18" s="1"/>
  <c r="J21" i="18"/>
  <c r="R20" i="18"/>
  <c r="N20" i="18"/>
  <c r="L20" i="18"/>
  <c r="P20" i="18" s="1"/>
  <c r="J20" i="18"/>
  <c r="R19" i="18"/>
  <c r="N19" i="18"/>
  <c r="L19" i="18"/>
  <c r="Q19" i="18" s="1"/>
  <c r="J19" i="18"/>
  <c r="R18" i="18"/>
  <c r="N18" i="18"/>
  <c r="L18" i="18"/>
  <c r="Q18" i="18" s="1"/>
  <c r="J18" i="18"/>
  <c r="R17" i="18"/>
  <c r="N17" i="18"/>
  <c r="L17" i="18"/>
  <c r="Q17" i="18" s="1"/>
  <c r="J17" i="18"/>
  <c r="R16" i="18"/>
  <c r="N16" i="18"/>
  <c r="L16" i="18"/>
  <c r="Q16" i="18" s="1"/>
  <c r="J16" i="18"/>
  <c r="R15" i="18"/>
  <c r="N15" i="18"/>
  <c r="L15" i="18"/>
  <c r="Q15" i="18" s="1"/>
  <c r="J15" i="18"/>
  <c r="M12" i="18"/>
  <c r="R11" i="18"/>
  <c r="N11" i="18"/>
  <c r="L11" i="18"/>
  <c r="Q11" i="18" s="1"/>
  <c r="J11" i="18"/>
  <c r="R10" i="18"/>
  <c r="N10" i="18"/>
  <c r="L10" i="18"/>
  <c r="Q10" i="18" s="1"/>
  <c r="J10" i="18"/>
  <c r="R9" i="18"/>
  <c r="N9" i="18"/>
  <c r="L9" i="18"/>
  <c r="Q9" i="18" s="1"/>
  <c r="J9" i="18"/>
  <c r="R8" i="18"/>
  <c r="N8" i="18"/>
  <c r="L8" i="18"/>
  <c r="P8" i="18" s="1"/>
  <c r="J8" i="18"/>
  <c r="R7" i="18"/>
  <c r="N7" i="18"/>
  <c r="L7" i="18"/>
  <c r="Q7" i="18" s="1"/>
  <c r="J7" i="18"/>
  <c r="R6" i="18"/>
  <c r="N6" i="18"/>
  <c r="L6" i="18"/>
  <c r="P6" i="18" s="1"/>
  <c r="J6" i="18"/>
  <c r="R5" i="18"/>
  <c r="N5" i="18"/>
  <c r="L5" i="18"/>
  <c r="Q5" i="18" s="1"/>
  <c r="J5" i="18"/>
  <c r="R4" i="18"/>
  <c r="N4" i="18"/>
  <c r="L4" i="18"/>
  <c r="Q4" i="18" s="1"/>
  <c r="J4" i="18"/>
  <c r="R3" i="18"/>
  <c r="N3" i="18"/>
  <c r="L3" i="18"/>
  <c r="Q3" i="18" s="1"/>
  <c r="J3" i="18"/>
  <c r="R2" i="18"/>
  <c r="N2" i="18"/>
  <c r="L2" i="18"/>
  <c r="Q2" i="18" s="1"/>
  <c r="J2" i="18"/>
  <c r="M45" i="17"/>
  <c r="R44" i="17"/>
  <c r="N44" i="17"/>
  <c r="L44" i="17"/>
  <c r="Q44" i="17" s="1"/>
  <c r="J44" i="17"/>
  <c r="R43" i="17"/>
  <c r="N43" i="17"/>
  <c r="L43" i="17"/>
  <c r="P43" i="17" s="1"/>
  <c r="J43" i="17"/>
  <c r="R42" i="17"/>
  <c r="N42" i="17"/>
  <c r="L42" i="17"/>
  <c r="Q42" i="17" s="1"/>
  <c r="J42" i="17"/>
  <c r="R41" i="17"/>
  <c r="N41" i="17"/>
  <c r="L41" i="17"/>
  <c r="Q41" i="17" s="1"/>
  <c r="J41" i="17"/>
  <c r="R40" i="17"/>
  <c r="N40" i="17"/>
  <c r="L40" i="17"/>
  <c r="Q40" i="17" s="1"/>
  <c r="J40" i="17"/>
  <c r="R39" i="17"/>
  <c r="N39" i="17"/>
  <c r="L39" i="17"/>
  <c r="P39" i="17" s="1"/>
  <c r="J39" i="17"/>
  <c r="R38" i="17"/>
  <c r="N38" i="17"/>
  <c r="L38" i="17"/>
  <c r="Q38" i="17" s="1"/>
  <c r="J38" i="17"/>
  <c r="R37" i="17"/>
  <c r="N37" i="17"/>
  <c r="L37" i="17"/>
  <c r="J37" i="17"/>
  <c r="M34" i="17"/>
  <c r="R33" i="17"/>
  <c r="N33" i="17"/>
  <c r="L33" i="17"/>
  <c r="P33" i="17" s="1"/>
  <c r="J33" i="17"/>
  <c r="R32" i="17"/>
  <c r="N32" i="17"/>
  <c r="L32" i="17"/>
  <c r="Q32" i="17" s="1"/>
  <c r="J32" i="17"/>
  <c r="R31" i="17"/>
  <c r="N31" i="17"/>
  <c r="L31" i="17"/>
  <c r="Q31" i="17" s="1"/>
  <c r="J31" i="17"/>
  <c r="R30" i="17"/>
  <c r="N30" i="17"/>
  <c r="L30" i="17"/>
  <c r="P30" i="17" s="1"/>
  <c r="J30" i="17"/>
  <c r="R29" i="17"/>
  <c r="N29" i="17"/>
  <c r="L29" i="17"/>
  <c r="Q29" i="17" s="1"/>
  <c r="J29" i="17"/>
  <c r="R28" i="17"/>
  <c r="N28" i="17"/>
  <c r="L28" i="17"/>
  <c r="P28" i="17" s="1"/>
  <c r="J28" i="17"/>
  <c r="R27" i="17"/>
  <c r="N27" i="17"/>
  <c r="L27" i="17"/>
  <c r="P27" i="17" s="1"/>
  <c r="J27" i="17"/>
  <c r="R26" i="17"/>
  <c r="N26" i="17"/>
  <c r="L26" i="17"/>
  <c r="Q26" i="17" s="1"/>
  <c r="J26" i="17"/>
  <c r="R25" i="17"/>
  <c r="N25" i="17"/>
  <c r="L25" i="17"/>
  <c r="Q25" i="17" s="1"/>
  <c r="J25" i="17"/>
  <c r="R24" i="17"/>
  <c r="N24" i="17"/>
  <c r="L24" i="17"/>
  <c r="Q24" i="17" s="1"/>
  <c r="J24" i="17"/>
  <c r="M22" i="17"/>
  <c r="R21" i="17"/>
  <c r="R22" i="17" s="1"/>
  <c r="N21" i="17"/>
  <c r="N22" i="17" s="1"/>
  <c r="L21" i="17"/>
  <c r="L22" i="17" s="1"/>
  <c r="J21" i="17"/>
  <c r="M18" i="17"/>
  <c r="R17" i="17"/>
  <c r="N17" i="17"/>
  <c r="L17" i="17"/>
  <c r="Q17" i="17" s="1"/>
  <c r="J17" i="17"/>
  <c r="R16" i="17"/>
  <c r="N16" i="17"/>
  <c r="L16" i="17"/>
  <c r="Q16" i="17" s="1"/>
  <c r="J16" i="17"/>
  <c r="R15" i="17"/>
  <c r="N15" i="17"/>
  <c r="L15" i="17"/>
  <c r="Q15" i="17" s="1"/>
  <c r="J15" i="17"/>
  <c r="R14" i="17"/>
  <c r="N14" i="17"/>
  <c r="L14" i="17"/>
  <c r="J14" i="17"/>
  <c r="M11" i="17"/>
  <c r="R10" i="17"/>
  <c r="N10" i="17"/>
  <c r="L10" i="17"/>
  <c r="Q10" i="17" s="1"/>
  <c r="J10" i="17"/>
  <c r="R9" i="17"/>
  <c r="N9" i="17"/>
  <c r="L9" i="17"/>
  <c r="P9" i="17" s="1"/>
  <c r="J9" i="17"/>
  <c r="R8" i="17"/>
  <c r="N8" i="17"/>
  <c r="L8" i="17"/>
  <c r="J8" i="17"/>
  <c r="M5" i="17"/>
  <c r="R4" i="17"/>
  <c r="N4" i="17"/>
  <c r="L4" i="17"/>
  <c r="Q4" i="17" s="1"/>
  <c r="J4" i="17"/>
  <c r="R3" i="17"/>
  <c r="N3" i="17"/>
  <c r="L3" i="17"/>
  <c r="J3" i="17"/>
  <c r="R2" i="17"/>
  <c r="N2" i="17"/>
  <c r="L2" i="17"/>
  <c r="P2" i="17" s="1"/>
  <c r="J2" i="17"/>
  <c r="M16" i="16"/>
  <c r="R15" i="16"/>
  <c r="N15" i="16"/>
  <c r="L15" i="16"/>
  <c r="Q15" i="16" s="1"/>
  <c r="J15" i="16"/>
  <c r="R14" i="16"/>
  <c r="N14" i="16"/>
  <c r="L14" i="16"/>
  <c r="P14" i="16" s="1"/>
  <c r="J14" i="16"/>
  <c r="R13" i="16"/>
  <c r="N13" i="16"/>
  <c r="L13" i="16"/>
  <c r="P13" i="16" s="1"/>
  <c r="J13" i="16"/>
  <c r="R12" i="16"/>
  <c r="R16" i="16" s="1"/>
  <c r="N12" i="16"/>
  <c r="N16" i="16" s="1"/>
  <c r="L12" i="16"/>
  <c r="L16" i="16" s="1"/>
  <c r="J12" i="16"/>
  <c r="M9" i="16"/>
  <c r="R8" i="16"/>
  <c r="N8" i="16"/>
  <c r="L8" i="16"/>
  <c r="P8" i="16" s="1"/>
  <c r="J8" i="16"/>
  <c r="R7" i="16"/>
  <c r="N7" i="16"/>
  <c r="L7" i="16"/>
  <c r="Q7" i="16" s="1"/>
  <c r="J7" i="16"/>
  <c r="R6" i="16"/>
  <c r="N6" i="16"/>
  <c r="L6" i="16"/>
  <c r="Q6" i="16" s="1"/>
  <c r="J6" i="16"/>
  <c r="R5" i="16"/>
  <c r="N5" i="16"/>
  <c r="L5" i="16"/>
  <c r="Q5" i="16" s="1"/>
  <c r="J5" i="16"/>
  <c r="R4" i="16"/>
  <c r="N4" i="16"/>
  <c r="L4" i="16"/>
  <c r="J4" i="16"/>
  <c r="R3" i="16"/>
  <c r="N3" i="16"/>
  <c r="L3" i="16"/>
  <c r="Q3" i="16" s="1"/>
  <c r="J3" i="16"/>
  <c r="R2" i="16"/>
  <c r="N2" i="16"/>
  <c r="L2" i="16"/>
  <c r="P2" i="16" s="1"/>
  <c r="J2" i="16"/>
  <c r="M103" i="15"/>
  <c r="R102" i="15"/>
  <c r="N102" i="15"/>
  <c r="L102" i="15"/>
  <c r="Q102" i="15" s="1"/>
  <c r="J102" i="15"/>
  <c r="R101" i="15"/>
  <c r="N101" i="15"/>
  <c r="L101" i="15"/>
  <c r="Q101" i="15" s="1"/>
  <c r="J101" i="15"/>
  <c r="R100" i="15"/>
  <c r="N100" i="15"/>
  <c r="L100" i="15"/>
  <c r="P100" i="15" s="1"/>
  <c r="J100" i="15"/>
  <c r="M97" i="15"/>
  <c r="R96" i="15"/>
  <c r="N96" i="15"/>
  <c r="L96" i="15"/>
  <c r="Q96" i="15" s="1"/>
  <c r="J96" i="15"/>
  <c r="R95" i="15"/>
  <c r="N95" i="15"/>
  <c r="L95" i="15"/>
  <c r="Q95" i="15" s="1"/>
  <c r="J95" i="15"/>
  <c r="R94" i="15"/>
  <c r="N94" i="15"/>
  <c r="L94" i="15"/>
  <c r="P94" i="15" s="1"/>
  <c r="J94" i="15"/>
  <c r="R93" i="15"/>
  <c r="N93" i="15"/>
  <c r="L93" i="15"/>
  <c r="J93" i="15"/>
  <c r="M90" i="15"/>
  <c r="R89" i="15"/>
  <c r="N89" i="15"/>
  <c r="L89" i="15"/>
  <c r="Q89" i="15" s="1"/>
  <c r="J89" i="15"/>
  <c r="R88" i="15"/>
  <c r="N88" i="15"/>
  <c r="L88" i="15"/>
  <c r="Q88" i="15" s="1"/>
  <c r="J88" i="15"/>
  <c r="R87" i="15"/>
  <c r="N87" i="15"/>
  <c r="L87" i="15"/>
  <c r="Q87" i="15" s="1"/>
  <c r="J87" i="15"/>
  <c r="R86" i="15"/>
  <c r="N86" i="15"/>
  <c r="L86" i="15"/>
  <c r="Q86" i="15" s="1"/>
  <c r="J86" i="15"/>
  <c r="R85" i="15"/>
  <c r="N85" i="15"/>
  <c r="L85" i="15"/>
  <c r="Q85" i="15" s="1"/>
  <c r="J85" i="15"/>
  <c r="R84" i="15"/>
  <c r="N84" i="15"/>
  <c r="L84" i="15"/>
  <c r="Q84" i="15" s="1"/>
  <c r="J84" i="15"/>
  <c r="M81" i="15"/>
  <c r="R80" i="15"/>
  <c r="N80" i="15"/>
  <c r="L80" i="15"/>
  <c r="P80" i="15" s="1"/>
  <c r="J80" i="15"/>
  <c r="R79" i="15"/>
  <c r="N79" i="15"/>
  <c r="L79" i="15"/>
  <c r="Q79" i="15" s="1"/>
  <c r="J79" i="15"/>
  <c r="R78" i="15"/>
  <c r="N78" i="15"/>
  <c r="L78" i="15"/>
  <c r="Q78" i="15" s="1"/>
  <c r="J78" i="15"/>
  <c r="R77" i="15"/>
  <c r="N77" i="15"/>
  <c r="L77" i="15"/>
  <c r="J77" i="15"/>
  <c r="R76" i="15"/>
  <c r="N76" i="15"/>
  <c r="L76" i="15"/>
  <c r="P76" i="15" s="1"/>
  <c r="J76" i="15"/>
  <c r="R75" i="15"/>
  <c r="N75" i="15"/>
  <c r="L75" i="15"/>
  <c r="Q75" i="15" s="1"/>
  <c r="J75" i="15"/>
  <c r="M72" i="15"/>
  <c r="R71" i="15"/>
  <c r="N71" i="15"/>
  <c r="L71" i="15"/>
  <c r="Q71" i="15" s="1"/>
  <c r="J71" i="15"/>
  <c r="R70" i="15"/>
  <c r="N70" i="15"/>
  <c r="L70" i="15"/>
  <c r="Q70" i="15" s="1"/>
  <c r="J70" i="15"/>
  <c r="R69" i="15"/>
  <c r="N69" i="15"/>
  <c r="L69" i="15"/>
  <c r="Q69" i="15" s="1"/>
  <c r="J69" i="15"/>
  <c r="R68" i="15"/>
  <c r="N68" i="15"/>
  <c r="L68" i="15"/>
  <c r="Q68" i="15" s="1"/>
  <c r="J68" i="15"/>
  <c r="R67" i="15"/>
  <c r="N67" i="15"/>
  <c r="L67" i="15"/>
  <c r="Q67" i="15" s="1"/>
  <c r="J67" i="15"/>
  <c r="R66" i="15"/>
  <c r="N66" i="15"/>
  <c r="L66" i="15"/>
  <c r="Q66" i="15" s="1"/>
  <c r="J66" i="15"/>
  <c r="R65" i="15"/>
  <c r="N65" i="15"/>
  <c r="L65" i="15"/>
  <c r="Q65" i="15" s="1"/>
  <c r="J65" i="15"/>
  <c r="R64" i="15"/>
  <c r="N64" i="15"/>
  <c r="L64" i="15"/>
  <c r="Q64" i="15" s="1"/>
  <c r="J64" i="15"/>
  <c r="R63" i="15"/>
  <c r="N63" i="15"/>
  <c r="L63" i="15"/>
  <c r="Q63" i="15" s="1"/>
  <c r="J63" i="15"/>
  <c r="R62" i="15"/>
  <c r="N62" i="15"/>
  <c r="L62" i="15"/>
  <c r="Q62" i="15" s="1"/>
  <c r="J62" i="15"/>
  <c r="R61" i="15"/>
  <c r="N61" i="15"/>
  <c r="L61" i="15"/>
  <c r="Q61" i="15" s="1"/>
  <c r="J61" i="15"/>
  <c r="R60" i="15"/>
  <c r="N60" i="15"/>
  <c r="L60" i="15"/>
  <c r="Q60" i="15" s="1"/>
  <c r="J60" i="15"/>
  <c r="R59" i="15"/>
  <c r="N59" i="15"/>
  <c r="L59" i="15"/>
  <c r="Q59" i="15" s="1"/>
  <c r="J59" i="15"/>
  <c r="R58" i="15"/>
  <c r="N58" i="15"/>
  <c r="L58" i="15"/>
  <c r="P58" i="15" s="1"/>
  <c r="J58" i="15"/>
  <c r="R57" i="15"/>
  <c r="N57" i="15"/>
  <c r="L57" i="15"/>
  <c r="Q57" i="15" s="1"/>
  <c r="J57" i="15"/>
  <c r="R56" i="15"/>
  <c r="N56" i="15"/>
  <c r="L56" i="15"/>
  <c r="Q56" i="15" s="1"/>
  <c r="J56" i="15"/>
  <c r="R55" i="15"/>
  <c r="N55" i="15"/>
  <c r="L55" i="15"/>
  <c r="Q55" i="15" s="1"/>
  <c r="J55" i="15"/>
  <c r="R54" i="15"/>
  <c r="N54" i="15"/>
  <c r="L54" i="15"/>
  <c r="Q54" i="15" s="1"/>
  <c r="J54" i="15"/>
  <c r="R53" i="15"/>
  <c r="N53" i="15"/>
  <c r="L53" i="15"/>
  <c r="P53" i="15" s="1"/>
  <c r="J53" i="15"/>
  <c r="R52" i="15"/>
  <c r="N52" i="15"/>
  <c r="L52" i="15"/>
  <c r="Q52" i="15" s="1"/>
  <c r="J52" i="15"/>
  <c r="R51" i="15"/>
  <c r="N51" i="15"/>
  <c r="L51" i="15"/>
  <c r="Q51" i="15" s="1"/>
  <c r="J51" i="15"/>
  <c r="R50" i="15"/>
  <c r="N50" i="15"/>
  <c r="L50" i="15"/>
  <c r="Q50" i="15" s="1"/>
  <c r="J50" i="15"/>
  <c r="M47" i="15"/>
  <c r="R46" i="15"/>
  <c r="N46" i="15"/>
  <c r="L46" i="15"/>
  <c r="Q46" i="15" s="1"/>
  <c r="J46" i="15"/>
  <c r="R45" i="15"/>
  <c r="N45" i="15"/>
  <c r="L45" i="15"/>
  <c r="P45" i="15" s="1"/>
  <c r="J45" i="15"/>
  <c r="R44" i="15"/>
  <c r="N44" i="15"/>
  <c r="L44" i="15"/>
  <c r="Q44" i="15" s="1"/>
  <c r="J44" i="15"/>
  <c r="R43" i="15"/>
  <c r="N43" i="15"/>
  <c r="L43" i="15"/>
  <c r="Q43" i="15" s="1"/>
  <c r="J43" i="15"/>
  <c r="R42" i="15"/>
  <c r="N42" i="15"/>
  <c r="L42" i="15"/>
  <c r="P42" i="15" s="1"/>
  <c r="J42" i="15"/>
  <c r="R41" i="15"/>
  <c r="N41" i="15"/>
  <c r="L41" i="15"/>
  <c r="Q41" i="15" s="1"/>
  <c r="J41" i="15"/>
  <c r="R40" i="15"/>
  <c r="N40" i="15"/>
  <c r="L40" i="15"/>
  <c r="Q40" i="15" s="1"/>
  <c r="J40" i="15"/>
  <c r="R39" i="15"/>
  <c r="N39" i="15"/>
  <c r="L39" i="15"/>
  <c r="P39" i="15" s="1"/>
  <c r="J39" i="15"/>
  <c r="R38" i="15"/>
  <c r="N38" i="15"/>
  <c r="L38" i="15"/>
  <c r="Q38" i="15" s="1"/>
  <c r="J38" i="15"/>
  <c r="M35" i="15"/>
  <c r="R34" i="15"/>
  <c r="N34" i="15"/>
  <c r="L34" i="15"/>
  <c r="Q34" i="15" s="1"/>
  <c r="J34" i="15"/>
  <c r="R33" i="15"/>
  <c r="N33" i="15"/>
  <c r="L33" i="15"/>
  <c r="Q33" i="15" s="1"/>
  <c r="J33" i="15"/>
  <c r="R32" i="15"/>
  <c r="N32" i="15"/>
  <c r="L32" i="15"/>
  <c r="Q32" i="15" s="1"/>
  <c r="J32" i="15"/>
  <c r="R31" i="15"/>
  <c r="N31" i="15"/>
  <c r="L31" i="15"/>
  <c r="Q31" i="15" s="1"/>
  <c r="J31" i="15"/>
  <c r="R30" i="15"/>
  <c r="N30" i="15"/>
  <c r="L30" i="15"/>
  <c r="P30" i="15" s="1"/>
  <c r="J30" i="15"/>
  <c r="R29" i="15"/>
  <c r="N29" i="15"/>
  <c r="L29" i="15"/>
  <c r="Q29" i="15" s="1"/>
  <c r="J29" i="15"/>
  <c r="R28" i="15"/>
  <c r="N28" i="15"/>
  <c r="L28" i="15"/>
  <c r="Q28" i="15" s="1"/>
  <c r="J28" i="15"/>
  <c r="R27" i="15"/>
  <c r="N27" i="15"/>
  <c r="L27" i="15"/>
  <c r="Q27" i="15" s="1"/>
  <c r="J27" i="15"/>
  <c r="R26" i="15"/>
  <c r="N26" i="15"/>
  <c r="L26" i="15"/>
  <c r="Q26" i="15" s="1"/>
  <c r="J26" i="15"/>
  <c r="R25" i="15"/>
  <c r="N25" i="15"/>
  <c r="L25" i="15"/>
  <c r="Q25" i="15" s="1"/>
  <c r="J25" i="15"/>
  <c r="R24" i="15"/>
  <c r="N24" i="15"/>
  <c r="L24" i="15"/>
  <c r="J24" i="15"/>
  <c r="R23" i="15"/>
  <c r="N23" i="15"/>
  <c r="L23" i="15"/>
  <c r="P23" i="15" s="1"/>
  <c r="J23" i="15"/>
  <c r="R22" i="15"/>
  <c r="N22" i="15"/>
  <c r="L22" i="15"/>
  <c r="Q22" i="15" s="1"/>
  <c r="J22" i="15"/>
  <c r="M19" i="15"/>
  <c r="R18" i="15"/>
  <c r="N18" i="15"/>
  <c r="L18" i="15"/>
  <c r="Q18" i="15" s="1"/>
  <c r="J18" i="15"/>
  <c r="R17" i="15"/>
  <c r="N17" i="15"/>
  <c r="L17" i="15"/>
  <c r="Q17" i="15" s="1"/>
  <c r="J17" i="15"/>
  <c r="R16" i="15"/>
  <c r="N16" i="15"/>
  <c r="L16" i="15"/>
  <c r="Q16" i="15" s="1"/>
  <c r="J16" i="15"/>
  <c r="R15" i="15"/>
  <c r="N15" i="15"/>
  <c r="L15" i="15"/>
  <c r="P15" i="15" s="1"/>
  <c r="J15" i="15"/>
  <c r="M12" i="15"/>
  <c r="R11" i="15"/>
  <c r="N11" i="15"/>
  <c r="L11" i="15"/>
  <c r="Q11" i="15" s="1"/>
  <c r="J11" i="15"/>
  <c r="R10" i="15"/>
  <c r="N10" i="15"/>
  <c r="L10" i="15"/>
  <c r="P10" i="15" s="1"/>
  <c r="J10" i="15"/>
  <c r="R9" i="15"/>
  <c r="N9" i="15"/>
  <c r="L9" i="15"/>
  <c r="J9" i="15"/>
  <c r="M6" i="15"/>
  <c r="R5" i="15"/>
  <c r="N5" i="15"/>
  <c r="L5" i="15"/>
  <c r="Q5" i="15" s="1"/>
  <c r="J5" i="15"/>
  <c r="R4" i="15"/>
  <c r="N4" i="15"/>
  <c r="L4" i="15"/>
  <c r="P4" i="15" s="1"/>
  <c r="J4" i="15"/>
  <c r="R3" i="15"/>
  <c r="N3" i="15"/>
  <c r="L3" i="15"/>
  <c r="P3" i="15" s="1"/>
  <c r="J3" i="15"/>
  <c r="R2" i="15"/>
  <c r="N2" i="15"/>
  <c r="L2" i="15"/>
  <c r="Q2" i="15" s="1"/>
  <c r="J2" i="15"/>
  <c r="M66" i="14"/>
  <c r="R65" i="14"/>
  <c r="N65" i="14"/>
  <c r="L65" i="14"/>
  <c r="P65" i="14" s="1"/>
  <c r="J65" i="14"/>
  <c r="R64" i="14"/>
  <c r="N64" i="14"/>
  <c r="L64" i="14"/>
  <c r="Q64" i="14" s="1"/>
  <c r="J64" i="14"/>
  <c r="R63" i="14"/>
  <c r="N63" i="14"/>
  <c r="L63" i="14"/>
  <c r="Q63" i="14" s="1"/>
  <c r="J63" i="14"/>
  <c r="R62" i="14"/>
  <c r="N62" i="14"/>
  <c r="L62" i="14"/>
  <c r="P62" i="14" s="1"/>
  <c r="J62" i="14"/>
  <c r="M59" i="14"/>
  <c r="R58" i="14"/>
  <c r="N58" i="14"/>
  <c r="L58" i="14"/>
  <c r="Q58" i="14" s="1"/>
  <c r="J58" i="14"/>
  <c r="R57" i="14"/>
  <c r="N57" i="14"/>
  <c r="L57" i="14"/>
  <c r="Q57" i="14" s="1"/>
  <c r="J57" i="14"/>
  <c r="R56" i="14"/>
  <c r="N56" i="14"/>
  <c r="L56" i="14"/>
  <c r="Q56" i="14" s="1"/>
  <c r="J56" i="14"/>
  <c r="R55" i="14"/>
  <c r="N55" i="14"/>
  <c r="L55" i="14"/>
  <c r="P55" i="14" s="1"/>
  <c r="J55" i="14"/>
  <c r="R54" i="14"/>
  <c r="N54" i="14"/>
  <c r="L54" i="14"/>
  <c r="P54" i="14" s="1"/>
  <c r="J54" i="14"/>
  <c r="R53" i="14"/>
  <c r="N53" i="14"/>
  <c r="L53" i="14"/>
  <c r="P53" i="14" s="1"/>
  <c r="J53" i="14"/>
  <c r="R52" i="14"/>
  <c r="N52" i="14"/>
  <c r="L52" i="14"/>
  <c r="Q52" i="14" s="1"/>
  <c r="J52" i="14"/>
  <c r="R51" i="14"/>
  <c r="N51" i="14"/>
  <c r="L51" i="14"/>
  <c r="Q51" i="14" s="1"/>
  <c r="J51" i="14"/>
  <c r="R50" i="14"/>
  <c r="N50" i="14"/>
  <c r="L50" i="14"/>
  <c r="Q50" i="14" s="1"/>
  <c r="J50" i="14"/>
  <c r="R49" i="14"/>
  <c r="N49" i="14"/>
  <c r="L49" i="14"/>
  <c r="Q49" i="14" s="1"/>
  <c r="J49" i="14"/>
  <c r="R48" i="14"/>
  <c r="N48" i="14"/>
  <c r="L48" i="14"/>
  <c r="Q48" i="14" s="1"/>
  <c r="J48" i="14"/>
  <c r="R47" i="14"/>
  <c r="N47" i="14"/>
  <c r="L47" i="14"/>
  <c r="Q47" i="14" s="1"/>
  <c r="J47" i="14"/>
  <c r="R46" i="14"/>
  <c r="N46" i="14"/>
  <c r="L46" i="14"/>
  <c r="Q46" i="14" s="1"/>
  <c r="J46" i="14"/>
  <c r="R45" i="14"/>
  <c r="N45" i="14"/>
  <c r="L45" i="14"/>
  <c r="P45" i="14" s="1"/>
  <c r="J45" i="14"/>
  <c r="R44" i="14"/>
  <c r="N44" i="14"/>
  <c r="L44" i="14"/>
  <c r="P44" i="14" s="1"/>
  <c r="J44" i="14"/>
  <c r="R43" i="14"/>
  <c r="N43" i="14"/>
  <c r="L43" i="14"/>
  <c r="P43" i="14" s="1"/>
  <c r="J43" i="14"/>
  <c r="R42" i="14"/>
  <c r="N42" i="14"/>
  <c r="L42" i="14"/>
  <c r="Q42" i="14" s="1"/>
  <c r="J42" i="14"/>
  <c r="R41" i="14"/>
  <c r="N41" i="14"/>
  <c r="L41" i="14"/>
  <c r="Q41" i="14" s="1"/>
  <c r="J41" i="14"/>
  <c r="R40" i="14"/>
  <c r="N40" i="14"/>
  <c r="L40" i="14"/>
  <c r="Q40" i="14" s="1"/>
  <c r="J40" i="14"/>
  <c r="R39" i="14"/>
  <c r="N39" i="14"/>
  <c r="L39" i="14"/>
  <c r="Q39" i="14" s="1"/>
  <c r="J39" i="14"/>
  <c r="R38" i="14"/>
  <c r="N38" i="14"/>
  <c r="L38" i="14"/>
  <c r="Q38" i="14" s="1"/>
  <c r="J38" i="14"/>
  <c r="R37" i="14"/>
  <c r="N37" i="14"/>
  <c r="L37" i="14"/>
  <c r="Q37" i="14" s="1"/>
  <c r="J37" i="14"/>
  <c r="R36" i="14"/>
  <c r="N36" i="14"/>
  <c r="L36" i="14"/>
  <c r="Q36" i="14" s="1"/>
  <c r="J36" i="14"/>
  <c r="R35" i="14"/>
  <c r="N35" i="14"/>
  <c r="L35" i="14"/>
  <c r="P35" i="14" s="1"/>
  <c r="J35" i="14"/>
  <c r="R34" i="14"/>
  <c r="N34" i="14"/>
  <c r="L34" i="14"/>
  <c r="P34" i="14" s="1"/>
  <c r="J34" i="14"/>
  <c r="R33" i="14"/>
  <c r="N33" i="14"/>
  <c r="L33" i="14"/>
  <c r="P33" i="14" s="1"/>
  <c r="J33" i="14"/>
  <c r="R32" i="14"/>
  <c r="N32" i="14"/>
  <c r="L32" i="14"/>
  <c r="Q32" i="14" s="1"/>
  <c r="J32" i="14"/>
  <c r="R31" i="14"/>
  <c r="N31" i="14"/>
  <c r="L31" i="14"/>
  <c r="Q31" i="14" s="1"/>
  <c r="J31" i="14"/>
  <c r="R30" i="14"/>
  <c r="N30" i="14"/>
  <c r="L30" i="14"/>
  <c r="P30" i="14" s="1"/>
  <c r="J30" i="14"/>
  <c r="R29" i="14"/>
  <c r="N29" i="14"/>
  <c r="L29" i="14"/>
  <c r="Q29" i="14" s="1"/>
  <c r="J29" i="14"/>
  <c r="R28" i="14"/>
  <c r="N28" i="14"/>
  <c r="L28" i="14"/>
  <c r="P28" i="14" s="1"/>
  <c r="J28" i="14"/>
  <c r="R27" i="14"/>
  <c r="N27" i="14"/>
  <c r="L27" i="14"/>
  <c r="Q27" i="14" s="1"/>
  <c r="J27" i="14"/>
  <c r="M24" i="14"/>
  <c r="R23" i="14"/>
  <c r="N23" i="14"/>
  <c r="L23" i="14"/>
  <c r="Q23" i="14" s="1"/>
  <c r="J23" i="14"/>
  <c r="R22" i="14"/>
  <c r="N22" i="14"/>
  <c r="L22" i="14"/>
  <c r="Q22" i="14" s="1"/>
  <c r="J22" i="14"/>
  <c r="R21" i="14"/>
  <c r="N21" i="14"/>
  <c r="L21" i="14"/>
  <c r="Q21" i="14" s="1"/>
  <c r="J21" i="14"/>
  <c r="R20" i="14"/>
  <c r="N20" i="14"/>
  <c r="L20" i="14"/>
  <c r="P20" i="14" s="1"/>
  <c r="J20" i="14"/>
  <c r="R19" i="14"/>
  <c r="N19" i="14"/>
  <c r="L19" i="14"/>
  <c r="P19" i="14" s="1"/>
  <c r="J19" i="14"/>
  <c r="R18" i="14"/>
  <c r="N18" i="14"/>
  <c r="L18" i="14"/>
  <c r="Q18" i="14" s="1"/>
  <c r="J18" i="14"/>
  <c r="R17" i="14"/>
  <c r="N17" i="14"/>
  <c r="L17" i="14"/>
  <c r="P17" i="14" s="1"/>
  <c r="J17" i="14"/>
  <c r="R16" i="14"/>
  <c r="N16" i="14"/>
  <c r="L16" i="14"/>
  <c r="J16" i="14"/>
  <c r="M13" i="14"/>
  <c r="R12" i="14"/>
  <c r="N12" i="14"/>
  <c r="L12" i="14"/>
  <c r="P12" i="14" s="1"/>
  <c r="J12" i="14"/>
  <c r="R11" i="14"/>
  <c r="N11" i="14"/>
  <c r="L11" i="14"/>
  <c r="P11" i="14" s="1"/>
  <c r="J11" i="14"/>
  <c r="R10" i="14"/>
  <c r="N10" i="14"/>
  <c r="L10" i="14"/>
  <c r="Q10" i="14" s="1"/>
  <c r="J10" i="14"/>
  <c r="R9" i="14"/>
  <c r="N9" i="14"/>
  <c r="L9" i="14"/>
  <c r="Q9" i="14" s="1"/>
  <c r="J9" i="14"/>
  <c r="R8" i="14"/>
  <c r="N8" i="14"/>
  <c r="L8" i="14"/>
  <c r="Q8" i="14" s="1"/>
  <c r="J8" i="14"/>
  <c r="R7" i="14"/>
  <c r="N7" i="14"/>
  <c r="L7" i="14"/>
  <c r="Q7" i="14" s="1"/>
  <c r="J7" i="14"/>
  <c r="M4" i="14"/>
  <c r="R3" i="14"/>
  <c r="N3" i="14"/>
  <c r="L3" i="14"/>
  <c r="Q3" i="14" s="1"/>
  <c r="J3" i="14"/>
  <c r="R2" i="14"/>
  <c r="N2" i="14"/>
  <c r="L2" i="14"/>
  <c r="Q2" i="14" s="1"/>
  <c r="J2" i="14"/>
  <c r="M52" i="13"/>
  <c r="R51" i="13"/>
  <c r="N51" i="13"/>
  <c r="L51" i="13"/>
  <c r="Q51" i="13" s="1"/>
  <c r="J51" i="13"/>
  <c r="R50" i="13"/>
  <c r="N50" i="13"/>
  <c r="L50" i="13"/>
  <c r="Q50" i="13" s="1"/>
  <c r="J50" i="13"/>
  <c r="R49" i="13"/>
  <c r="N49" i="13"/>
  <c r="L49" i="13"/>
  <c r="Q49" i="13" s="1"/>
  <c r="J49" i="13"/>
  <c r="R48" i="13"/>
  <c r="N48" i="13"/>
  <c r="L48" i="13"/>
  <c r="Q48" i="13" s="1"/>
  <c r="J48" i="13"/>
  <c r="R47" i="13"/>
  <c r="N47" i="13"/>
  <c r="L47" i="13"/>
  <c r="Q47" i="13" s="1"/>
  <c r="J47" i="13"/>
  <c r="R46" i="13"/>
  <c r="N46" i="13"/>
  <c r="L46" i="13"/>
  <c r="Q46" i="13" s="1"/>
  <c r="J46" i="13"/>
  <c r="R45" i="13"/>
  <c r="N45" i="13"/>
  <c r="L45" i="13"/>
  <c r="Q45" i="13" s="1"/>
  <c r="J45" i="13"/>
  <c r="R44" i="13"/>
  <c r="N44" i="13"/>
  <c r="L44" i="13"/>
  <c r="Q44" i="13" s="1"/>
  <c r="J44" i="13"/>
  <c r="R43" i="13"/>
  <c r="N43" i="13"/>
  <c r="L43" i="13"/>
  <c r="P43" i="13" s="1"/>
  <c r="J43" i="13"/>
  <c r="R42" i="13"/>
  <c r="N42" i="13"/>
  <c r="L42" i="13"/>
  <c r="Q42" i="13" s="1"/>
  <c r="J42" i="13"/>
  <c r="M39" i="13"/>
  <c r="R38" i="13"/>
  <c r="N38" i="13"/>
  <c r="L38" i="13"/>
  <c r="P38" i="13" s="1"/>
  <c r="J38" i="13"/>
  <c r="R37" i="13"/>
  <c r="N37" i="13"/>
  <c r="L37" i="13"/>
  <c r="Q37" i="13" s="1"/>
  <c r="J37" i="13"/>
  <c r="R36" i="13"/>
  <c r="N36" i="13"/>
  <c r="L36" i="13"/>
  <c r="Q36" i="13" s="1"/>
  <c r="J36" i="13"/>
  <c r="R35" i="13"/>
  <c r="N35" i="13"/>
  <c r="L35" i="13"/>
  <c r="Q35" i="13" s="1"/>
  <c r="J35" i="13"/>
  <c r="R34" i="13"/>
  <c r="N34" i="13"/>
  <c r="L34" i="13"/>
  <c r="P34" i="13" s="1"/>
  <c r="J34" i="13"/>
  <c r="R33" i="13"/>
  <c r="N33" i="13"/>
  <c r="L33" i="13"/>
  <c r="Q33" i="13" s="1"/>
  <c r="J33" i="13"/>
  <c r="R32" i="13"/>
  <c r="N32" i="13"/>
  <c r="L32" i="13"/>
  <c r="P32" i="13" s="1"/>
  <c r="J32" i="13"/>
  <c r="R31" i="13"/>
  <c r="N31" i="13"/>
  <c r="L31" i="13"/>
  <c r="Q31" i="13" s="1"/>
  <c r="J31" i="13"/>
  <c r="R30" i="13"/>
  <c r="N30" i="13"/>
  <c r="L30" i="13"/>
  <c r="P30" i="13" s="1"/>
  <c r="J30" i="13"/>
  <c r="R29" i="13"/>
  <c r="N29" i="13"/>
  <c r="L29" i="13"/>
  <c r="Q29" i="13" s="1"/>
  <c r="J29" i="13"/>
  <c r="M26" i="13"/>
  <c r="R25" i="13"/>
  <c r="N25" i="13"/>
  <c r="L25" i="13"/>
  <c r="P25" i="13" s="1"/>
  <c r="J25" i="13"/>
  <c r="R24" i="13"/>
  <c r="N24" i="13"/>
  <c r="L24" i="13"/>
  <c r="Q24" i="13" s="1"/>
  <c r="J24" i="13"/>
  <c r="R23" i="13"/>
  <c r="N23" i="13"/>
  <c r="L23" i="13"/>
  <c r="Q23" i="13" s="1"/>
  <c r="J23" i="13"/>
  <c r="R22" i="13"/>
  <c r="N22" i="13"/>
  <c r="L22" i="13"/>
  <c r="Q22" i="13" s="1"/>
  <c r="J22" i="13"/>
  <c r="R21" i="13"/>
  <c r="N21" i="13"/>
  <c r="L21" i="13"/>
  <c r="Q21" i="13" s="1"/>
  <c r="J21" i="13"/>
  <c r="R20" i="13"/>
  <c r="N20" i="13"/>
  <c r="L20" i="13"/>
  <c r="P20" i="13" s="1"/>
  <c r="J20" i="13"/>
  <c r="R19" i="13"/>
  <c r="N19" i="13"/>
  <c r="L19" i="13"/>
  <c r="P19" i="13" s="1"/>
  <c r="J19" i="13"/>
  <c r="R18" i="13"/>
  <c r="N18" i="13"/>
  <c r="L18" i="13"/>
  <c r="P18" i="13" s="1"/>
  <c r="J18" i="13"/>
  <c r="R17" i="13"/>
  <c r="N17" i="13"/>
  <c r="L17" i="13"/>
  <c r="Q17" i="13" s="1"/>
  <c r="J17" i="13"/>
  <c r="R16" i="13"/>
  <c r="N16" i="13"/>
  <c r="L16" i="13"/>
  <c r="Q16" i="13" s="1"/>
  <c r="J16" i="13"/>
  <c r="R15" i="13"/>
  <c r="N15" i="13"/>
  <c r="L15" i="13"/>
  <c r="P15" i="13" s="1"/>
  <c r="J15" i="13"/>
  <c r="R14" i="13"/>
  <c r="N14" i="13"/>
  <c r="L14" i="13"/>
  <c r="Q14" i="13" s="1"/>
  <c r="J14" i="13"/>
  <c r="R13" i="13"/>
  <c r="N13" i="13"/>
  <c r="L13" i="13"/>
  <c r="Q13" i="13" s="1"/>
  <c r="J13" i="13"/>
  <c r="R12" i="13"/>
  <c r="N12" i="13"/>
  <c r="L12" i="13"/>
  <c r="Q12" i="13" s="1"/>
  <c r="J12" i="13"/>
  <c r="R11" i="13"/>
  <c r="N11" i="13"/>
  <c r="L11" i="13"/>
  <c r="Q11" i="13" s="1"/>
  <c r="J11" i="13"/>
  <c r="R10" i="13"/>
  <c r="N10" i="13"/>
  <c r="L10" i="13"/>
  <c r="Q10" i="13" s="1"/>
  <c r="J10" i="13"/>
  <c r="R9" i="13"/>
  <c r="N9" i="13"/>
  <c r="L9" i="13"/>
  <c r="J9" i="13"/>
  <c r="R8" i="13"/>
  <c r="N8" i="13"/>
  <c r="L8" i="13"/>
  <c r="Q8" i="13" s="1"/>
  <c r="J8" i="13"/>
  <c r="R7" i="13"/>
  <c r="N7" i="13"/>
  <c r="L7" i="13"/>
  <c r="Q7" i="13" s="1"/>
  <c r="J7" i="13"/>
  <c r="R6" i="13"/>
  <c r="N6" i="13"/>
  <c r="L6" i="13"/>
  <c r="Q6" i="13" s="1"/>
  <c r="J6" i="13"/>
  <c r="M3" i="13"/>
  <c r="R2" i="13"/>
  <c r="R3" i="13" s="1"/>
  <c r="N2" i="13"/>
  <c r="N3" i="13" s="1"/>
  <c r="L2" i="13"/>
  <c r="Q2" i="13" s="1"/>
  <c r="Q3" i="13" s="1"/>
  <c r="J2" i="13"/>
  <c r="M41" i="12"/>
  <c r="R40" i="12"/>
  <c r="N40" i="12"/>
  <c r="L40" i="12"/>
  <c r="P40" i="12" s="1"/>
  <c r="J40" i="12"/>
  <c r="R39" i="12"/>
  <c r="N39" i="12"/>
  <c r="L39" i="12"/>
  <c r="Q39" i="12" s="1"/>
  <c r="J39" i="12"/>
  <c r="R38" i="12"/>
  <c r="N38" i="12"/>
  <c r="L38" i="12"/>
  <c r="Q38" i="12" s="1"/>
  <c r="J38" i="12"/>
  <c r="R37" i="12"/>
  <c r="N37" i="12"/>
  <c r="L37" i="12"/>
  <c r="Q37" i="12" s="1"/>
  <c r="J37" i="12"/>
  <c r="R36" i="12"/>
  <c r="N36" i="12"/>
  <c r="L36" i="12"/>
  <c r="Q36" i="12" s="1"/>
  <c r="J36" i="12"/>
  <c r="R35" i="12"/>
  <c r="N35" i="12"/>
  <c r="L35" i="12"/>
  <c r="Q35" i="12" s="1"/>
  <c r="J35" i="12"/>
  <c r="M32" i="12"/>
  <c r="R31" i="12"/>
  <c r="N31" i="12"/>
  <c r="L31" i="12"/>
  <c r="Q31" i="12" s="1"/>
  <c r="J31" i="12"/>
  <c r="R30" i="12"/>
  <c r="N30" i="12"/>
  <c r="L30" i="12"/>
  <c r="Q30" i="12" s="1"/>
  <c r="J30" i="12"/>
  <c r="R29" i="12"/>
  <c r="N29" i="12"/>
  <c r="L29" i="12"/>
  <c r="Q29" i="12" s="1"/>
  <c r="J29" i="12"/>
  <c r="R28" i="12"/>
  <c r="N28" i="12"/>
  <c r="L28" i="12"/>
  <c r="Q28" i="12" s="1"/>
  <c r="J28" i="12"/>
  <c r="R27" i="12"/>
  <c r="N27" i="12"/>
  <c r="L27" i="12"/>
  <c r="Q27" i="12" s="1"/>
  <c r="J27" i="12"/>
  <c r="R26" i="12"/>
  <c r="N26" i="12"/>
  <c r="L26" i="12"/>
  <c r="Q26" i="12" s="1"/>
  <c r="J26" i="12"/>
  <c r="R25" i="12"/>
  <c r="N25" i="12"/>
  <c r="L25" i="12"/>
  <c r="P25" i="12" s="1"/>
  <c r="J25" i="12"/>
  <c r="R24" i="12"/>
  <c r="N24" i="12"/>
  <c r="L24" i="12"/>
  <c r="Q24" i="12" s="1"/>
  <c r="J24" i="12"/>
  <c r="R23" i="12"/>
  <c r="N23" i="12"/>
  <c r="L23" i="12"/>
  <c r="Q23" i="12" s="1"/>
  <c r="J23" i="12"/>
  <c r="R22" i="12"/>
  <c r="N22" i="12"/>
  <c r="L22" i="12"/>
  <c r="Q22" i="12" s="1"/>
  <c r="J22" i="12"/>
  <c r="R21" i="12"/>
  <c r="N21" i="12"/>
  <c r="L21" i="12"/>
  <c r="P21" i="12" s="1"/>
  <c r="J21" i="12"/>
  <c r="R20" i="12"/>
  <c r="N20" i="12"/>
  <c r="L20" i="12"/>
  <c r="Q20" i="12" s="1"/>
  <c r="J20" i="12"/>
  <c r="R19" i="12"/>
  <c r="N19" i="12"/>
  <c r="L19" i="12"/>
  <c r="Q19" i="12" s="1"/>
  <c r="J19" i="12"/>
  <c r="R18" i="12"/>
  <c r="N18" i="12"/>
  <c r="L18" i="12"/>
  <c r="Q18" i="12" s="1"/>
  <c r="J18" i="12"/>
  <c r="R17" i="12"/>
  <c r="N17" i="12"/>
  <c r="L17" i="12"/>
  <c r="Q17" i="12" s="1"/>
  <c r="J17" i="12"/>
  <c r="R16" i="12"/>
  <c r="N16" i="12"/>
  <c r="L16" i="12"/>
  <c r="Q16" i="12" s="1"/>
  <c r="J16" i="12"/>
  <c r="R15" i="12"/>
  <c r="N15" i="12"/>
  <c r="L15" i="12"/>
  <c r="P15" i="12" s="1"/>
  <c r="J15" i="12"/>
  <c r="R14" i="12"/>
  <c r="N14" i="12"/>
  <c r="L14" i="12"/>
  <c r="Q14" i="12" s="1"/>
  <c r="J14" i="12"/>
  <c r="R13" i="12"/>
  <c r="N13" i="12"/>
  <c r="L13" i="12"/>
  <c r="P13" i="12" s="1"/>
  <c r="J13" i="12"/>
  <c r="R12" i="12"/>
  <c r="N12" i="12"/>
  <c r="L12" i="12"/>
  <c r="Q12" i="12" s="1"/>
  <c r="J12" i="12"/>
  <c r="R11" i="12"/>
  <c r="N11" i="12"/>
  <c r="L11" i="12"/>
  <c r="Q11" i="12" s="1"/>
  <c r="J11" i="12"/>
  <c r="R10" i="12"/>
  <c r="N10" i="12"/>
  <c r="L10" i="12"/>
  <c r="Q10" i="12" s="1"/>
  <c r="J10" i="12"/>
  <c r="M7" i="12"/>
  <c r="R6" i="12"/>
  <c r="N6" i="12"/>
  <c r="L6" i="12"/>
  <c r="Q6" i="12" s="1"/>
  <c r="J6" i="12"/>
  <c r="R5" i="12"/>
  <c r="N5" i="12"/>
  <c r="L5" i="12"/>
  <c r="Q5" i="12" s="1"/>
  <c r="J5" i="12"/>
  <c r="R4" i="12"/>
  <c r="N4" i="12"/>
  <c r="L4" i="12"/>
  <c r="P4" i="12" s="1"/>
  <c r="J4" i="12"/>
  <c r="R3" i="12"/>
  <c r="N3" i="12"/>
  <c r="L3" i="12"/>
  <c r="Q3" i="12" s="1"/>
  <c r="J3" i="12"/>
  <c r="R2" i="12"/>
  <c r="N2" i="12"/>
  <c r="L2" i="12"/>
  <c r="Q2" i="12" s="1"/>
  <c r="J2" i="12"/>
  <c r="M82" i="11"/>
  <c r="R81" i="11"/>
  <c r="N81" i="11"/>
  <c r="L81" i="11"/>
  <c r="P81" i="11" s="1"/>
  <c r="J81" i="11"/>
  <c r="R80" i="11"/>
  <c r="N80" i="11"/>
  <c r="L80" i="11"/>
  <c r="Q80" i="11" s="1"/>
  <c r="J80" i="11"/>
  <c r="R79" i="11"/>
  <c r="N79" i="11"/>
  <c r="L79" i="11"/>
  <c r="Q79" i="11" s="1"/>
  <c r="J79" i="11"/>
  <c r="R78" i="11"/>
  <c r="N78" i="11"/>
  <c r="L78" i="11"/>
  <c r="P78" i="11" s="1"/>
  <c r="J78" i="11"/>
  <c r="R77" i="11"/>
  <c r="N77" i="11"/>
  <c r="L77" i="11"/>
  <c r="Q77" i="11" s="1"/>
  <c r="J77" i="11"/>
  <c r="R76" i="11"/>
  <c r="N76" i="11"/>
  <c r="L76" i="11"/>
  <c r="Q76" i="11" s="1"/>
  <c r="J76" i="11"/>
  <c r="R75" i="11"/>
  <c r="N75" i="11"/>
  <c r="L75" i="11"/>
  <c r="Q75" i="11" s="1"/>
  <c r="J75" i="11"/>
  <c r="R74" i="11"/>
  <c r="N74" i="11"/>
  <c r="L74" i="11"/>
  <c r="Q74" i="11" s="1"/>
  <c r="J74" i="11"/>
  <c r="R73" i="11"/>
  <c r="N73" i="11"/>
  <c r="L73" i="11"/>
  <c r="P73" i="11" s="1"/>
  <c r="J73" i="11"/>
  <c r="M70" i="11"/>
  <c r="R69" i="11"/>
  <c r="N69" i="11"/>
  <c r="L69" i="11"/>
  <c r="Q69" i="11" s="1"/>
  <c r="J69" i="11"/>
  <c r="R68" i="11"/>
  <c r="N68" i="11"/>
  <c r="L68" i="11"/>
  <c r="Q68" i="11" s="1"/>
  <c r="J68" i="11"/>
  <c r="R67" i="11"/>
  <c r="N67" i="11"/>
  <c r="L67" i="11"/>
  <c r="P67" i="11" s="1"/>
  <c r="J67" i="11"/>
  <c r="R66" i="11"/>
  <c r="N66" i="11"/>
  <c r="L66" i="11"/>
  <c r="Q66" i="11" s="1"/>
  <c r="J66" i="11"/>
  <c r="R65" i="11"/>
  <c r="N65" i="11"/>
  <c r="L65" i="11"/>
  <c r="P65" i="11" s="1"/>
  <c r="J65" i="11"/>
  <c r="R64" i="11"/>
  <c r="N64" i="11"/>
  <c r="L64" i="11"/>
  <c r="P64" i="11" s="1"/>
  <c r="J64" i="11"/>
  <c r="R63" i="11"/>
  <c r="N63" i="11"/>
  <c r="L63" i="11"/>
  <c r="P63" i="11" s="1"/>
  <c r="J63" i="11"/>
  <c r="R62" i="11"/>
  <c r="N62" i="11"/>
  <c r="L62" i="11"/>
  <c r="J62" i="11"/>
  <c r="R61" i="11"/>
  <c r="N61" i="11"/>
  <c r="L61" i="11"/>
  <c r="Q61" i="11" s="1"/>
  <c r="J61" i="11"/>
  <c r="R60" i="11"/>
  <c r="N60" i="11"/>
  <c r="L60" i="11"/>
  <c r="Q60" i="11" s="1"/>
  <c r="J60" i="11"/>
  <c r="M57" i="11"/>
  <c r="R56" i="11"/>
  <c r="N56" i="11"/>
  <c r="L56" i="11"/>
  <c r="P56" i="11" s="1"/>
  <c r="J56" i="11"/>
  <c r="R55" i="11"/>
  <c r="N55" i="11"/>
  <c r="L55" i="11"/>
  <c r="Q55" i="11" s="1"/>
  <c r="J55" i="11"/>
  <c r="R54" i="11"/>
  <c r="N54" i="11"/>
  <c r="L54" i="11"/>
  <c r="Q54" i="11" s="1"/>
  <c r="J54" i="11"/>
  <c r="R53" i="11"/>
  <c r="N53" i="11"/>
  <c r="L53" i="11"/>
  <c r="Q53" i="11" s="1"/>
  <c r="J53" i="11"/>
  <c r="R52" i="11"/>
  <c r="N52" i="11"/>
  <c r="L52" i="11"/>
  <c r="P52" i="11" s="1"/>
  <c r="J52" i="11"/>
  <c r="R51" i="11"/>
  <c r="N51" i="11"/>
  <c r="L51" i="11"/>
  <c r="Q51" i="11" s="1"/>
  <c r="J51" i="11"/>
  <c r="R50" i="11"/>
  <c r="N50" i="11"/>
  <c r="L50" i="11"/>
  <c r="P50" i="11" s="1"/>
  <c r="J50" i="11"/>
  <c r="R49" i="11"/>
  <c r="N49" i="11"/>
  <c r="L49" i="11"/>
  <c r="Q49" i="11" s="1"/>
  <c r="J49" i="11"/>
  <c r="R48" i="11"/>
  <c r="N48" i="11"/>
  <c r="L48" i="11"/>
  <c r="Q48" i="11" s="1"/>
  <c r="J48" i="11"/>
  <c r="R47" i="11"/>
  <c r="N47" i="11"/>
  <c r="L47" i="11"/>
  <c r="P47" i="11" s="1"/>
  <c r="J47" i="11"/>
  <c r="R46" i="11"/>
  <c r="N46" i="11"/>
  <c r="L46" i="11"/>
  <c r="P46" i="11" s="1"/>
  <c r="J46" i="11"/>
  <c r="R45" i="11"/>
  <c r="N45" i="11"/>
  <c r="L45" i="11"/>
  <c r="Q45" i="11" s="1"/>
  <c r="J45" i="11"/>
  <c r="R44" i="11"/>
  <c r="N44" i="11"/>
  <c r="L44" i="11"/>
  <c r="Q44" i="11" s="1"/>
  <c r="J44" i="11"/>
  <c r="R43" i="11"/>
  <c r="N43" i="11"/>
  <c r="L43" i="11"/>
  <c r="Q43" i="11" s="1"/>
  <c r="J43" i="11"/>
  <c r="R42" i="11"/>
  <c r="N42" i="11"/>
  <c r="L42" i="11"/>
  <c r="Q42" i="11" s="1"/>
  <c r="J42" i="11"/>
  <c r="R41" i="11"/>
  <c r="N41" i="11"/>
  <c r="L41" i="11"/>
  <c r="Q41" i="11" s="1"/>
  <c r="J41" i="11"/>
  <c r="R40" i="11"/>
  <c r="N40" i="11"/>
  <c r="L40" i="11"/>
  <c r="P40" i="11" s="1"/>
  <c r="J40" i="11"/>
  <c r="M37" i="11"/>
  <c r="R36" i="11"/>
  <c r="N36" i="11"/>
  <c r="L36" i="11"/>
  <c r="P36" i="11" s="1"/>
  <c r="J36" i="11"/>
  <c r="R35" i="11"/>
  <c r="N35" i="11"/>
  <c r="L35" i="11"/>
  <c r="Q35" i="11" s="1"/>
  <c r="J35" i="11"/>
  <c r="R34" i="11"/>
  <c r="N34" i="11"/>
  <c r="L34" i="11"/>
  <c r="P34" i="11" s="1"/>
  <c r="J34" i="11"/>
  <c r="R33" i="11"/>
  <c r="N33" i="11"/>
  <c r="L33" i="11"/>
  <c r="P33" i="11" s="1"/>
  <c r="J33" i="11"/>
  <c r="R32" i="11"/>
  <c r="N32" i="11"/>
  <c r="L32" i="11"/>
  <c r="P32" i="11" s="1"/>
  <c r="J32" i="11"/>
  <c r="R31" i="11"/>
  <c r="N31" i="11"/>
  <c r="L31" i="11"/>
  <c r="Q31" i="11" s="1"/>
  <c r="J31" i="11"/>
  <c r="R30" i="11"/>
  <c r="N30" i="11"/>
  <c r="L30" i="11"/>
  <c r="Q30" i="11" s="1"/>
  <c r="J30" i="11"/>
  <c r="R29" i="11"/>
  <c r="N29" i="11"/>
  <c r="L29" i="11"/>
  <c r="P29" i="11" s="1"/>
  <c r="J29" i="11"/>
  <c r="R28" i="11"/>
  <c r="N28" i="11"/>
  <c r="L28" i="11"/>
  <c r="Q28" i="11" s="1"/>
  <c r="J28" i="11"/>
  <c r="R27" i="11"/>
  <c r="N27" i="11"/>
  <c r="L27" i="11"/>
  <c r="P27" i="11" s="1"/>
  <c r="J27" i="11"/>
  <c r="R26" i="11"/>
  <c r="N26" i="11"/>
  <c r="L26" i="11"/>
  <c r="Q26" i="11" s="1"/>
  <c r="J26" i="11"/>
  <c r="R25" i="11"/>
  <c r="N25" i="11"/>
  <c r="L25" i="11"/>
  <c r="Q25" i="11" s="1"/>
  <c r="J25" i="11"/>
  <c r="R24" i="11"/>
  <c r="N24" i="11"/>
  <c r="L24" i="11"/>
  <c r="P24" i="11" s="1"/>
  <c r="J24" i="11"/>
  <c r="R23" i="11"/>
  <c r="N23" i="11"/>
  <c r="L23" i="11"/>
  <c r="P23" i="11" s="1"/>
  <c r="J23" i="11"/>
  <c r="R22" i="11"/>
  <c r="N22" i="11"/>
  <c r="L22" i="11"/>
  <c r="P22" i="11" s="1"/>
  <c r="J22" i="11"/>
  <c r="R21" i="11"/>
  <c r="N21" i="11"/>
  <c r="L21" i="11"/>
  <c r="Q21" i="11" s="1"/>
  <c r="J21" i="11"/>
  <c r="R20" i="11"/>
  <c r="N20" i="11"/>
  <c r="L20" i="11"/>
  <c r="Q20" i="11" s="1"/>
  <c r="J20" i="11"/>
  <c r="R19" i="11"/>
  <c r="N19" i="11"/>
  <c r="L19" i="11"/>
  <c r="Q19" i="11" s="1"/>
  <c r="J19" i="11"/>
  <c r="R18" i="11"/>
  <c r="N18" i="11"/>
  <c r="L18" i="11"/>
  <c r="Q18" i="11" s="1"/>
  <c r="J18" i="11"/>
  <c r="R17" i="11"/>
  <c r="N17" i="11"/>
  <c r="L17" i="11"/>
  <c r="Q17" i="11" s="1"/>
  <c r="J17" i="11"/>
  <c r="R16" i="11"/>
  <c r="N16" i="11"/>
  <c r="L16" i="11"/>
  <c r="P16" i="11" s="1"/>
  <c r="J16" i="11"/>
  <c r="R15" i="11"/>
  <c r="N15" i="11"/>
  <c r="L15" i="11"/>
  <c r="Q15" i="11" s="1"/>
  <c r="J15" i="11"/>
  <c r="R14" i="11"/>
  <c r="N14" i="11"/>
  <c r="L14" i="11"/>
  <c r="Q14" i="11" s="1"/>
  <c r="J14" i="11"/>
  <c r="R13" i="11"/>
  <c r="N13" i="11"/>
  <c r="L13" i="11"/>
  <c r="P13" i="11" s="1"/>
  <c r="J13" i="11"/>
  <c r="R12" i="11"/>
  <c r="N12" i="11"/>
  <c r="L12" i="11"/>
  <c r="P12" i="11" s="1"/>
  <c r="J12" i="11"/>
  <c r="R11" i="11"/>
  <c r="N11" i="11"/>
  <c r="L11" i="11"/>
  <c r="Q11" i="11" s="1"/>
  <c r="J11" i="11"/>
  <c r="R10" i="11"/>
  <c r="N10" i="11"/>
  <c r="L10" i="11"/>
  <c r="Q10" i="11" s="1"/>
  <c r="J10" i="11"/>
  <c r="R9" i="11"/>
  <c r="N9" i="11"/>
  <c r="L9" i="11"/>
  <c r="J9" i="11"/>
  <c r="M7" i="11"/>
  <c r="R6" i="11"/>
  <c r="N6" i="11"/>
  <c r="L6" i="11"/>
  <c r="Q6" i="11" s="1"/>
  <c r="J6" i="11"/>
  <c r="R5" i="11"/>
  <c r="N5" i="11"/>
  <c r="L5" i="11"/>
  <c r="Q5" i="11" s="1"/>
  <c r="J5" i="11"/>
  <c r="R4" i="11"/>
  <c r="N4" i="11"/>
  <c r="L4" i="11"/>
  <c r="Q4" i="11" s="1"/>
  <c r="J4" i="11"/>
  <c r="R3" i="11"/>
  <c r="N3" i="11"/>
  <c r="L3" i="11"/>
  <c r="J3" i="11"/>
  <c r="R2" i="11"/>
  <c r="N2" i="11"/>
  <c r="L2" i="11"/>
  <c r="Q2" i="11" s="1"/>
  <c r="J2" i="11"/>
  <c r="M92" i="10"/>
  <c r="R91" i="10"/>
  <c r="N91" i="10"/>
  <c r="L91" i="10"/>
  <c r="Q91" i="10" s="1"/>
  <c r="J91" i="10"/>
  <c r="R90" i="10"/>
  <c r="N90" i="10"/>
  <c r="L90" i="10"/>
  <c r="P90" i="10" s="1"/>
  <c r="J90" i="10"/>
  <c r="R89" i="10"/>
  <c r="N89" i="10"/>
  <c r="L89" i="10"/>
  <c r="Q89" i="10" s="1"/>
  <c r="J89" i="10"/>
  <c r="R88" i="10"/>
  <c r="N88" i="10"/>
  <c r="L88" i="10"/>
  <c r="Q88" i="10" s="1"/>
  <c r="J88" i="10"/>
  <c r="R87" i="10"/>
  <c r="N87" i="10"/>
  <c r="L87" i="10"/>
  <c r="Q87" i="10" s="1"/>
  <c r="J87" i="10"/>
  <c r="R86" i="10"/>
  <c r="N86" i="10"/>
  <c r="L86" i="10"/>
  <c r="Q86" i="10" s="1"/>
  <c r="J86" i="10"/>
  <c r="R85" i="10"/>
  <c r="N85" i="10"/>
  <c r="L85" i="10"/>
  <c r="Q85" i="10" s="1"/>
  <c r="J85" i="10"/>
  <c r="R84" i="10"/>
  <c r="N84" i="10"/>
  <c r="L84" i="10"/>
  <c r="J84" i="10"/>
  <c r="M81" i="10"/>
  <c r="R80" i="10"/>
  <c r="N80" i="10"/>
  <c r="L80" i="10"/>
  <c r="Q80" i="10" s="1"/>
  <c r="J80" i="10"/>
  <c r="R79" i="10"/>
  <c r="N79" i="10"/>
  <c r="L79" i="10"/>
  <c r="Q79" i="10" s="1"/>
  <c r="J79" i="10"/>
  <c r="M76" i="10"/>
  <c r="R75" i="10"/>
  <c r="N75" i="10"/>
  <c r="L75" i="10"/>
  <c r="Q75" i="10" s="1"/>
  <c r="J75" i="10"/>
  <c r="R74" i="10"/>
  <c r="N74" i="10"/>
  <c r="L74" i="10"/>
  <c r="Q74" i="10" s="1"/>
  <c r="J74" i="10"/>
  <c r="R73" i="10"/>
  <c r="N73" i="10"/>
  <c r="L73" i="10"/>
  <c r="Q73" i="10" s="1"/>
  <c r="J73" i="10"/>
  <c r="M70" i="10"/>
  <c r="R69" i="10"/>
  <c r="N69" i="10"/>
  <c r="L69" i="10"/>
  <c r="P69" i="10" s="1"/>
  <c r="J69" i="10"/>
  <c r="R68" i="10"/>
  <c r="N68" i="10"/>
  <c r="L68" i="10"/>
  <c r="Q68" i="10" s="1"/>
  <c r="J68" i="10"/>
  <c r="R67" i="10"/>
  <c r="N67" i="10"/>
  <c r="L67" i="10"/>
  <c r="P67" i="10" s="1"/>
  <c r="J67" i="10"/>
  <c r="R66" i="10"/>
  <c r="N66" i="10"/>
  <c r="L66" i="10"/>
  <c r="Q66" i="10" s="1"/>
  <c r="J66" i="10"/>
  <c r="R65" i="10"/>
  <c r="N65" i="10"/>
  <c r="L65" i="10"/>
  <c r="Q65" i="10" s="1"/>
  <c r="J65" i="10"/>
  <c r="R64" i="10"/>
  <c r="N64" i="10"/>
  <c r="L64" i="10"/>
  <c r="P64" i="10" s="1"/>
  <c r="J64" i="10"/>
  <c r="R63" i="10"/>
  <c r="N63" i="10"/>
  <c r="L63" i="10"/>
  <c r="Q63" i="10" s="1"/>
  <c r="J63" i="10"/>
  <c r="M61" i="10"/>
  <c r="R60" i="10"/>
  <c r="R61" i="10" s="1"/>
  <c r="N60" i="10"/>
  <c r="N61" i="10" s="1"/>
  <c r="L60" i="10"/>
  <c r="L61" i="10" s="1"/>
  <c r="J60" i="10"/>
  <c r="M57" i="10"/>
  <c r="R56" i="10"/>
  <c r="R57" i="10" s="1"/>
  <c r="N56" i="10"/>
  <c r="N57" i="10" s="1"/>
  <c r="L56" i="10"/>
  <c r="L57" i="10" s="1"/>
  <c r="J56" i="10"/>
  <c r="M53" i="10"/>
  <c r="R52" i="10"/>
  <c r="R53" i="10" s="1"/>
  <c r="N52" i="10"/>
  <c r="N53" i="10" s="1"/>
  <c r="L52" i="10"/>
  <c r="L53" i="10" s="1"/>
  <c r="J52" i="10"/>
  <c r="M48" i="10"/>
  <c r="R47" i="10"/>
  <c r="N47" i="10"/>
  <c r="L47" i="10"/>
  <c r="Q47" i="10" s="1"/>
  <c r="J47" i="10"/>
  <c r="R46" i="10"/>
  <c r="N46" i="10"/>
  <c r="L46" i="10"/>
  <c r="Q46" i="10" s="1"/>
  <c r="J46" i="10"/>
  <c r="M43" i="10"/>
  <c r="R42" i="10"/>
  <c r="N42" i="10"/>
  <c r="L42" i="10"/>
  <c r="J42" i="10"/>
  <c r="R41" i="10"/>
  <c r="N41" i="10"/>
  <c r="N43" i="10" s="1"/>
  <c r="L41" i="10"/>
  <c r="Q41" i="10" s="1"/>
  <c r="J41" i="10"/>
  <c r="M38" i="10"/>
  <c r="R37" i="10"/>
  <c r="N37" i="10"/>
  <c r="L37" i="10"/>
  <c r="Q37" i="10" s="1"/>
  <c r="J37" i="10"/>
  <c r="R36" i="10"/>
  <c r="N36" i="10"/>
  <c r="L36" i="10"/>
  <c r="Q36" i="10" s="1"/>
  <c r="J36" i="10"/>
  <c r="R35" i="10"/>
  <c r="N35" i="10"/>
  <c r="L35" i="10"/>
  <c r="Q35" i="10" s="1"/>
  <c r="J35" i="10"/>
  <c r="M32" i="10"/>
  <c r="R31" i="10"/>
  <c r="N31" i="10"/>
  <c r="L31" i="10"/>
  <c r="Q31" i="10" s="1"/>
  <c r="J31" i="10"/>
  <c r="R30" i="10"/>
  <c r="N30" i="10"/>
  <c r="L30" i="10"/>
  <c r="Q30" i="10" s="1"/>
  <c r="J30" i="10"/>
  <c r="R29" i="10"/>
  <c r="N29" i="10"/>
  <c r="L29" i="10"/>
  <c r="Q29" i="10" s="1"/>
  <c r="J29" i="10"/>
  <c r="R28" i="10"/>
  <c r="N28" i="10"/>
  <c r="L28" i="10"/>
  <c r="Q28" i="10" s="1"/>
  <c r="J28" i="10"/>
  <c r="R27" i="10"/>
  <c r="N27" i="10"/>
  <c r="L27" i="10"/>
  <c r="Q27" i="10" s="1"/>
  <c r="J27" i="10"/>
  <c r="R26" i="10"/>
  <c r="N26" i="10"/>
  <c r="L26" i="10"/>
  <c r="Q26" i="10" s="1"/>
  <c r="J26" i="10"/>
  <c r="R25" i="10"/>
  <c r="N25" i="10"/>
  <c r="L25" i="10"/>
  <c r="P25" i="10" s="1"/>
  <c r="J25" i="10"/>
  <c r="R24" i="10"/>
  <c r="N24" i="10"/>
  <c r="L24" i="10"/>
  <c r="Q24" i="10" s="1"/>
  <c r="J24" i="10"/>
  <c r="R23" i="10"/>
  <c r="N23" i="10"/>
  <c r="L23" i="10"/>
  <c r="Q23" i="10" s="1"/>
  <c r="J23" i="10"/>
  <c r="M20" i="10"/>
  <c r="R19" i="10"/>
  <c r="N19" i="10"/>
  <c r="L19" i="10"/>
  <c r="Q19" i="10" s="1"/>
  <c r="J19" i="10"/>
  <c r="R18" i="10"/>
  <c r="N18" i="10"/>
  <c r="L18" i="10"/>
  <c r="P18" i="10" s="1"/>
  <c r="J18" i="10"/>
  <c r="R17" i="10"/>
  <c r="N17" i="10"/>
  <c r="L17" i="10"/>
  <c r="P17" i="10" s="1"/>
  <c r="J17" i="10"/>
  <c r="R16" i="10"/>
  <c r="N16" i="10"/>
  <c r="L16" i="10"/>
  <c r="Q16" i="10" s="1"/>
  <c r="J16" i="10"/>
  <c r="R15" i="10"/>
  <c r="N15" i="10"/>
  <c r="L15" i="10"/>
  <c r="Q15" i="10" s="1"/>
  <c r="J15" i="10"/>
  <c r="R14" i="10"/>
  <c r="N14" i="10"/>
  <c r="L14" i="10"/>
  <c r="Q14" i="10" s="1"/>
  <c r="J14" i="10"/>
  <c r="R13" i="10"/>
  <c r="N13" i="10"/>
  <c r="L13" i="10"/>
  <c r="P13" i="10" s="1"/>
  <c r="J13" i="10"/>
  <c r="R12" i="10"/>
  <c r="N12" i="10"/>
  <c r="L12" i="10"/>
  <c r="Q12" i="10" s="1"/>
  <c r="J12" i="10"/>
  <c r="R11" i="10"/>
  <c r="N11" i="10"/>
  <c r="L11" i="10"/>
  <c r="Q11" i="10" s="1"/>
  <c r="J11" i="10"/>
  <c r="R10" i="10"/>
  <c r="N10" i="10"/>
  <c r="L10" i="10"/>
  <c r="P10" i="10" s="1"/>
  <c r="J10" i="10"/>
  <c r="M7" i="10"/>
  <c r="R6" i="10"/>
  <c r="N6" i="10"/>
  <c r="L6" i="10"/>
  <c r="Q6" i="10" s="1"/>
  <c r="J6" i="10"/>
  <c r="R5" i="10"/>
  <c r="N5" i="10"/>
  <c r="L5" i="10"/>
  <c r="Q5" i="10" s="1"/>
  <c r="J5" i="10"/>
  <c r="R4" i="10"/>
  <c r="N4" i="10"/>
  <c r="L4" i="10"/>
  <c r="P4" i="10" s="1"/>
  <c r="J4" i="10"/>
  <c r="R3" i="10"/>
  <c r="N3" i="10"/>
  <c r="L3" i="10"/>
  <c r="J3" i="10"/>
  <c r="R2" i="10"/>
  <c r="N2" i="10"/>
  <c r="L2" i="10"/>
  <c r="Q2" i="10" s="1"/>
  <c r="J2" i="10"/>
  <c r="J2" i="9"/>
  <c r="L2" i="9"/>
  <c r="N2" i="9"/>
  <c r="P2" i="9"/>
  <c r="Q2" i="9"/>
  <c r="R2" i="9"/>
  <c r="J3" i="9"/>
  <c r="L3" i="9"/>
  <c r="N3" i="9"/>
  <c r="R3" i="9"/>
  <c r="J4" i="9"/>
  <c r="L4" i="9"/>
  <c r="P4" i="9" s="1"/>
  <c r="N4" i="9"/>
  <c r="R4" i="9"/>
  <c r="J5" i="9"/>
  <c r="L5" i="9"/>
  <c r="P5" i="9" s="1"/>
  <c r="N5" i="9"/>
  <c r="R5" i="9"/>
  <c r="M6" i="9"/>
  <c r="N6" i="9"/>
  <c r="J9" i="9"/>
  <c r="L9" i="9"/>
  <c r="N9" i="9"/>
  <c r="P9" i="9"/>
  <c r="Q9" i="9"/>
  <c r="R9" i="9"/>
  <c r="J10" i="9"/>
  <c r="L10" i="9"/>
  <c r="P10" i="9" s="1"/>
  <c r="N10" i="9"/>
  <c r="R10" i="9"/>
  <c r="J11" i="9"/>
  <c r="L11" i="9"/>
  <c r="N11" i="9"/>
  <c r="P11" i="9"/>
  <c r="Q11" i="9"/>
  <c r="R11" i="9"/>
  <c r="J12" i="9"/>
  <c r="L12" i="9"/>
  <c r="P12" i="9" s="1"/>
  <c r="N12" i="9"/>
  <c r="R12" i="9"/>
  <c r="J13" i="9"/>
  <c r="L13" i="9"/>
  <c r="P13" i="9" s="1"/>
  <c r="N13" i="9"/>
  <c r="R13" i="9"/>
  <c r="J14" i="9"/>
  <c r="L14" i="9"/>
  <c r="Q14" i="9" s="1"/>
  <c r="N14" i="9"/>
  <c r="R14" i="9"/>
  <c r="M15" i="9"/>
  <c r="J18" i="9"/>
  <c r="L18" i="9"/>
  <c r="N18" i="9"/>
  <c r="P18" i="9"/>
  <c r="R18" i="9"/>
  <c r="J19" i="9"/>
  <c r="L19" i="9"/>
  <c r="Q19" i="9" s="1"/>
  <c r="N19" i="9"/>
  <c r="R19" i="9"/>
  <c r="J20" i="9"/>
  <c r="L20" i="9"/>
  <c r="P20" i="9" s="1"/>
  <c r="N20" i="9"/>
  <c r="R20" i="9"/>
  <c r="M21" i="9"/>
  <c r="J24" i="9"/>
  <c r="L24" i="9"/>
  <c r="Q24" i="9" s="1"/>
  <c r="N24" i="9"/>
  <c r="R24" i="9"/>
  <c r="J25" i="9"/>
  <c r="L25" i="9"/>
  <c r="Q25" i="9" s="1"/>
  <c r="N25" i="9"/>
  <c r="P25" i="9"/>
  <c r="R25" i="9"/>
  <c r="J26" i="9"/>
  <c r="L26" i="9"/>
  <c r="P26" i="9" s="1"/>
  <c r="N26" i="9"/>
  <c r="R26" i="9"/>
  <c r="J27" i="9"/>
  <c r="L27" i="9"/>
  <c r="P27" i="9" s="1"/>
  <c r="N27" i="9"/>
  <c r="R27" i="9"/>
  <c r="J28" i="9"/>
  <c r="L28" i="9"/>
  <c r="P28" i="9" s="1"/>
  <c r="N28" i="9"/>
  <c r="R28" i="9"/>
  <c r="M29" i="9"/>
  <c r="J32" i="9"/>
  <c r="L32" i="9"/>
  <c r="N32" i="9"/>
  <c r="R32" i="9"/>
  <c r="J33" i="9"/>
  <c r="L33" i="9"/>
  <c r="P33" i="9" s="1"/>
  <c r="N33" i="9"/>
  <c r="R33" i="9"/>
  <c r="J34" i="9"/>
  <c r="L34" i="9"/>
  <c r="P34" i="9" s="1"/>
  <c r="N34" i="9"/>
  <c r="R34" i="9"/>
  <c r="M35" i="9"/>
  <c r="J38" i="9"/>
  <c r="L38" i="9"/>
  <c r="P38" i="9" s="1"/>
  <c r="N38" i="9"/>
  <c r="N39" i="9" s="1"/>
  <c r="R38" i="9"/>
  <c r="R39" i="9" s="1"/>
  <c r="M39" i="9"/>
  <c r="J42" i="9"/>
  <c r="L42" i="9"/>
  <c r="P42" i="9" s="1"/>
  <c r="N42" i="9"/>
  <c r="N43" i="9" s="1"/>
  <c r="R42" i="9"/>
  <c r="R43" i="9" s="1"/>
  <c r="M43" i="9"/>
  <c r="J46" i="9"/>
  <c r="L46" i="9"/>
  <c r="P46" i="9" s="1"/>
  <c r="N46" i="9"/>
  <c r="R46" i="9"/>
  <c r="J47" i="9"/>
  <c r="L47" i="9"/>
  <c r="Q47" i="9" s="1"/>
  <c r="N47" i="9"/>
  <c r="R47" i="9"/>
  <c r="M48" i="9"/>
  <c r="M66" i="8"/>
  <c r="R65" i="8"/>
  <c r="N65" i="8"/>
  <c r="L65" i="8"/>
  <c r="P65" i="8" s="1"/>
  <c r="J65" i="8"/>
  <c r="R64" i="8"/>
  <c r="N64" i="8"/>
  <c r="L64" i="8"/>
  <c r="Q64" i="8" s="1"/>
  <c r="J64" i="8"/>
  <c r="R63" i="8"/>
  <c r="N63" i="8"/>
  <c r="L63" i="8"/>
  <c r="Q63" i="8" s="1"/>
  <c r="J63" i="8"/>
  <c r="R62" i="8"/>
  <c r="N62" i="8"/>
  <c r="L62" i="8"/>
  <c r="J62" i="8"/>
  <c r="M59" i="8"/>
  <c r="R58" i="8"/>
  <c r="N58" i="8"/>
  <c r="L58" i="8"/>
  <c r="Q58" i="8" s="1"/>
  <c r="J58" i="8"/>
  <c r="R57" i="8"/>
  <c r="N57" i="8"/>
  <c r="L57" i="8"/>
  <c r="Q57" i="8" s="1"/>
  <c r="J57" i="8"/>
  <c r="R56" i="8"/>
  <c r="N56" i="8"/>
  <c r="L56" i="8"/>
  <c r="P56" i="8" s="1"/>
  <c r="J56" i="8"/>
  <c r="R55" i="8"/>
  <c r="N55" i="8"/>
  <c r="L55" i="8"/>
  <c r="P55" i="8" s="1"/>
  <c r="J55" i="8"/>
  <c r="R54" i="8"/>
  <c r="N54" i="8"/>
  <c r="L54" i="8"/>
  <c r="P54" i="8" s="1"/>
  <c r="J54" i="8"/>
  <c r="R53" i="8"/>
  <c r="N53" i="8"/>
  <c r="L53" i="8"/>
  <c r="P53" i="8" s="1"/>
  <c r="J53" i="8"/>
  <c r="R52" i="8"/>
  <c r="N52" i="8"/>
  <c r="L52" i="8"/>
  <c r="Q52" i="8" s="1"/>
  <c r="J52" i="8"/>
  <c r="R51" i="8"/>
  <c r="N51" i="8"/>
  <c r="L51" i="8"/>
  <c r="Q51" i="8" s="1"/>
  <c r="J51" i="8"/>
  <c r="R50" i="8"/>
  <c r="N50" i="8"/>
  <c r="L50" i="8"/>
  <c r="P50" i="8" s="1"/>
  <c r="J50" i="8"/>
  <c r="R49" i="8"/>
  <c r="N49" i="8"/>
  <c r="L49" i="8"/>
  <c r="J49" i="8"/>
  <c r="R48" i="8"/>
  <c r="N48" i="8"/>
  <c r="L48" i="8"/>
  <c r="Q48" i="8" s="1"/>
  <c r="J48" i="8"/>
  <c r="R47" i="8"/>
  <c r="N47" i="8"/>
  <c r="L47" i="8"/>
  <c r="Q47" i="8" s="1"/>
  <c r="J47" i="8"/>
  <c r="M44" i="8"/>
  <c r="R43" i="8"/>
  <c r="R44" i="8" s="1"/>
  <c r="N43" i="8"/>
  <c r="N44" i="8" s="1"/>
  <c r="L43" i="8"/>
  <c r="L44" i="8" s="1"/>
  <c r="J43" i="8"/>
  <c r="M40" i="8"/>
  <c r="R39" i="8"/>
  <c r="N39" i="8"/>
  <c r="L39" i="8"/>
  <c r="P39" i="8" s="1"/>
  <c r="J39" i="8"/>
  <c r="R38" i="8"/>
  <c r="N38" i="8"/>
  <c r="L38" i="8"/>
  <c r="Q38" i="8" s="1"/>
  <c r="J38" i="8"/>
  <c r="R37" i="8"/>
  <c r="N37" i="8"/>
  <c r="L37" i="8"/>
  <c r="Q37" i="8" s="1"/>
  <c r="J37" i="8"/>
  <c r="R36" i="8"/>
  <c r="N36" i="8"/>
  <c r="L36" i="8"/>
  <c r="Q36" i="8" s="1"/>
  <c r="J36" i="8"/>
  <c r="R35" i="8"/>
  <c r="N35" i="8"/>
  <c r="L35" i="8"/>
  <c r="P35" i="8" s="1"/>
  <c r="J35" i="8"/>
  <c r="R34" i="8"/>
  <c r="N34" i="8"/>
  <c r="L34" i="8"/>
  <c r="P34" i="8" s="1"/>
  <c r="J34" i="8"/>
  <c r="R33" i="8"/>
  <c r="N33" i="8"/>
  <c r="L33" i="8"/>
  <c r="P33" i="8" s="1"/>
  <c r="J33" i="8"/>
  <c r="R32" i="8"/>
  <c r="N32" i="8"/>
  <c r="L32" i="8"/>
  <c r="J32" i="8"/>
  <c r="M29" i="8"/>
  <c r="R28" i="8"/>
  <c r="N28" i="8"/>
  <c r="L28" i="8"/>
  <c r="Q28" i="8" s="1"/>
  <c r="J28" i="8"/>
  <c r="R27" i="8"/>
  <c r="N27" i="8"/>
  <c r="L27" i="8"/>
  <c r="Q27" i="8" s="1"/>
  <c r="J27" i="8"/>
  <c r="M23" i="8"/>
  <c r="R22" i="8"/>
  <c r="N22" i="8"/>
  <c r="L22" i="8"/>
  <c r="P22" i="8" s="1"/>
  <c r="J22" i="8"/>
  <c r="R21" i="8"/>
  <c r="N21" i="8"/>
  <c r="L21" i="8"/>
  <c r="P21" i="8" s="1"/>
  <c r="J21" i="8"/>
  <c r="M18" i="8"/>
  <c r="R17" i="8"/>
  <c r="N17" i="8"/>
  <c r="L17" i="8"/>
  <c r="Q17" i="8" s="1"/>
  <c r="J17" i="8"/>
  <c r="R16" i="8"/>
  <c r="N16" i="8"/>
  <c r="L16" i="8"/>
  <c r="P16" i="8" s="1"/>
  <c r="J16" i="8"/>
  <c r="R15" i="8"/>
  <c r="N15" i="8"/>
  <c r="L15" i="8"/>
  <c r="Q15" i="8" s="1"/>
  <c r="J15" i="8"/>
  <c r="M12" i="8"/>
  <c r="R11" i="8"/>
  <c r="N11" i="8"/>
  <c r="L11" i="8"/>
  <c r="Q11" i="8" s="1"/>
  <c r="J11" i="8"/>
  <c r="R10" i="8"/>
  <c r="N10" i="8"/>
  <c r="L10" i="8"/>
  <c r="Q10" i="8" s="1"/>
  <c r="J10" i="8"/>
  <c r="R9" i="8"/>
  <c r="N9" i="8"/>
  <c r="L9" i="8"/>
  <c r="Q9" i="8" s="1"/>
  <c r="J9" i="8"/>
  <c r="R8" i="8"/>
  <c r="N8" i="8"/>
  <c r="L8" i="8"/>
  <c r="Q8" i="8" s="1"/>
  <c r="J8" i="8"/>
  <c r="R7" i="8"/>
  <c r="N7" i="8"/>
  <c r="L7" i="8"/>
  <c r="P7" i="8" s="1"/>
  <c r="J7" i="8"/>
  <c r="R6" i="8"/>
  <c r="N6" i="8"/>
  <c r="L6" i="8"/>
  <c r="Q6" i="8" s="1"/>
  <c r="J6" i="8"/>
  <c r="M4" i="8"/>
  <c r="R3" i="8"/>
  <c r="N3" i="8"/>
  <c r="L3" i="8"/>
  <c r="Q3" i="8" s="1"/>
  <c r="J3" i="8"/>
  <c r="R2" i="8"/>
  <c r="N2" i="8"/>
  <c r="L2" i="8"/>
  <c r="Q2" i="8" s="1"/>
  <c r="J2" i="8"/>
  <c r="M64" i="7"/>
  <c r="R63" i="7"/>
  <c r="N63" i="7"/>
  <c r="L63" i="7"/>
  <c r="P63" i="7" s="1"/>
  <c r="J63" i="7"/>
  <c r="R62" i="7"/>
  <c r="N62" i="7"/>
  <c r="L62" i="7"/>
  <c r="Q62" i="7" s="1"/>
  <c r="J62" i="7"/>
  <c r="R61" i="7"/>
  <c r="N61" i="7"/>
  <c r="L61" i="7"/>
  <c r="Q61" i="7" s="1"/>
  <c r="J61" i="7"/>
  <c r="R60" i="7"/>
  <c r="N60" i="7"/>
  <c r="L60" i="7"/>
  <c r="Q60" i="7" s="1"/>
  <c r="J60" i="7"/>
  <c r="R59" i="7"/>
  <c r="N59" i="7"/>
  <c r="L59" i="7"/>
  <c r="P59" i="7" s="1"/>
  <c r="J59" i="7"/>
  <c r="R58" i="7"/>
  <c r="N58" i="7"/>
  <c r="L58" i="7"/>
  <c r="Q58" i="7" s="1"/>
  <c r="J58" i="7"/>
  <c r="R57" i="7"/>
  <c r="N57" i="7"/>
  <c r="L57" i="7"/>
  <c r="Q57" i="7" s="1"/>
  <c r="J57" i="7"/>
  <c r="R56" i="7"/>
  <c r="N56" i="7"/>
  <c r="L56" i="7"/>
  <c r="Q56" i="7" s="1"/>
  <c r="J56" i="7"/>
  <c r="R55" i="7"/>
  <c r="N55" i="7"/>
  <c r="L55" i="7"/>
  <c r="Q55" i="7" s="1"/>
  <c r="J55" i="7"/>
  <c r="R54" i="7"/>
  <c r="N54" i="7"/>
  <c r="L54" i="7"/>
  <c r="P54" i="7" s="1"/>
  <c r="J54" i="7"/>
  <c r="R53" i="7"/>
  <c r="N53" i="7"/>
  <c r="L53" i="7"/>
  <c r="J53" i="7"/>
  <c r="M50" i="7"/>
  <c r="R49" i="7"/>
  <c r="N49" i="7"/>
  <c r="L49" i="7"/>
  <c r="P49" i="7" s="1"/>
  <c r="J49" i="7"/>
  <c r="R48" i="7"/>
  <c r="N48" i="7"/>
  <c r="L48" i="7"/>
  <c r="Q48" i="7" s="1"/>
  <c r="J48" i="7"/>
  <c r="R47" i="7"/>
  <c r="N47" i="7"/>
  <c r="L47" i="7"/>
  <c r="Q47" i="7" s="1"/>
  <c r="J47" i="7"/>
  <c r="R46" i="7"/>
  <c r="N46" i="7"/>
  <c r="L46" i="7"/>
  <c r="Q46" i="7" s="1"/>
  <c r="J46" i="7"/>
  <c r="R45" i="7"/>
  <c r="N45" i="7"/>
  <c r="L45" i="7"/>
  <c r="Q45" i="7" s="1"/>
  <c r="J45" i="7"/>
  <c r="R44" i="7"/>
  <c r="N44" i="7"/>
  <c r="L44" i="7"/>
  <c r="Q44" i="7" s="1"/>
  <c r="J44" i="7"/>
  <c r="M41" i="7"/>
  <c r="R40" i="7"/>
  <c r="N40" i="7"/>
  <c r="L40" i="7"/>
  <c r="Q40" i="7" s="1"/>
  <c r="J40" i="7"/>
  <c r="R39" i="7"/>
  <c r="N39" i="7"/>
  <c r="L39" i="7"/>
  <c r="Q39" i="7" s="1"/>
  <c r="J39" i="7"/>
  <c r="R38" i="7"/>
  <c r="N38" i="7"/>
  <c r="L38" i="7"/>
  <c r="P38" i="7" s="1"/>
  <c r="J38" i="7"/>
  <c r="R37" i="7"/>
  <c r="N37" i="7"/>
  <c r="L37" i="7"/>
  <c r="J37" i="7"/>
  <c r="R36" i="7"/>
  <c r="N36" i="7"/>
  <c r="L36" i="7"/>
  <c r="Q36" i="7" s="1"/>
  <c r="J36" i="7"/>
  <c r="R35" i="7"/>
  <c r="N35" i="7"/>
  <c r="L35" i="7"/>
  <c r="Q35" i="7" s="1"/>
  <c r="J35" i="7"/>
  <c r="M32" i="7"/>
  <c r="R31" i="7"/>
  <c r="N31" i="7"/>
  <c r="L31" i="7"/>
  <c r="P31" i="7" s="1"/>
  <c r="J31" i="7"/>
  <c r="R30" i="7"/>
  <c r="N30" i="7"/>
  <c r="L30" i="7"/>
  <c r="Q30" i="7" s="1"/>
  <c r="J30" i="7"/>
  <c r="R29" i="7"/>
  <c r="N29" i="7"/>
  <c r="L29" i="7"/>
  <c r="Q29" i="7" s="1"/>
  <c r="J29" i="7"/>
  <c r="M26" i="7"/>
  <c r="R25" i="7"/>
  <c r="N25" i="7"/>
  <c r="L25" i="7"/>
  <c r="Q25" i="7" s="1"/>
  <c r="J25" i="7"/>
  <c r="R24" i="7"/>
  <c r="N24" i="7"/>
  <c r="L24" i="7"/>
  <c r="Q24" i="7" s="1"/>
  <c r="J24" i="7"/>
  <c r="R23" i="7"/>
  <c r="N23" i="7"/>
  <c r="L23" i="7"/>
  <c r="Q23" i="7" s="1"/>
  <c r="J23" i="7"/>
  <c r="R22" i="7"/>
  <c r="N22" i="7"/>
  <c r="L22" i="7"/>
  <c r="P22" i="7" s="1"/>
  <c r="J22" i="7"/>
  <c r="R21" i="7"/>
  <c r="N21" i="7"/>
  <c r="L21" i="7"/>
  <c r="Q21" i="7" s="1"/>
  <c r="J21" i="7"/>
  <c r="R20" i="7"/>
  <c r="N20" i="7"/>
  <c r="L20" i="7"/>
  <c r="Q20" i="7" s="1"/>
  <c r="J20" i="7"/>
  <c r="R19" i="7"/>
  <c r="N19" i="7"/>
  <c r="L19" i="7"/>
  <c r="Q19" i="7" s="1"/>
  <c r="J19" i="7"/>
  <c r="R18" i="7"/>
  <c r="N18" i="7"/>
  <c r="L18" i="7"/>
  <c r="J18" i="7"/>
  <c r="M15" i="7"/>
  <c r="R14" i="7"/>
  <c r="N14" i="7"/>
  <c r="L14" i="7"/>
  <c r="Q14" i="7" s="1"/>
  <c r="J14" i="7"/>
  <c r="R13" i="7"/>
  <c r="N13" i="7"/>
  <c r="L13" i="7"/>
  <c r="Q13" i="7" s="1"/>
  <c r="J13" i="7"/>
  <c r="R12" i="7"/>
  <c r="N12" i="7"/>
  <c r="L12" i="7"/>
  <c r="Q12" i="7" s="1"/>
  <c r="J12" i="7"/>
  <c r="R11" i="7"/>
  <c r="N11" i="7"/>
  <c r="L11" i="7"/>
  <c r="J11" i="7"/>
  <c r="R10" i="7"/>
  <c r="N10" i="7"/>
  <c r="L10" i="7"/>
  <c r="P10" i="7" s="1"/>
  <c r="J10" i="7"/>
  <c r="M7" i="7"/>
  <c r="R6" i="7"/>
  <c r="N6" i="7"/>
  <c r="L6" i="7"/>
  <c r="P6" i="7" s="1"/>
  <c r="J6" i="7"/>
  <c r="R5" i="7"/>
  <c r="N5" i="7"/>
  <c r="L5" i="7"/>
  <c r="Q5" i="7" s="1"/>
  <c r="J5" i="7"/>
  <c r="R4" i="7"/>
  <c r="N4" i="7"/>
  <c r="L4" i="7"/>
  <c r="Q4" i="7" s="1"/>
  <c r="J4" i="7"/>
  <c r="R3" i="7"/>
  <c r="N3" i="7"/>
  <c r="L3" i="7"/>
  <c r="Q3" i="7" s="1"/>
  <c r="J3" i="7"/>
  <c r="R2" i="7"/>
  <c r="N2" i="7"/>
  <c r="L2" i="7"/>
  <c r="J2" i="7"/>
  <c r="M6" i="6"/>
  <c r="R5" i="6"/>
  <c r="N5" i="6"/>
  <c r="L5" i="6"/>
  <c r="Q5" i="6" s="1"/>
  <c r="J5" i="6"/>
  <c r="R4" i="6"/>
  <c r="N4" i="6"/>
  <c r="L4" i="6"/>
  <c r="Q4" i="6" s="1"/>
  <c r="J4" i="6"/>
  <c r="R3" i="6"/>
  <c r="N3" i="6"/>
  <c r="L3" i="6"/>
  <c r="J3" i="6"/>
  <c r="R2" i="6"/>
  <c r="R6" i="6" s="1"/>
  <c r="N2" i="6"/>
  <c r="N6" i="6" s="1"/>
  <c r="L2" i="6"/>
  <c r="Q2" i="6" s="1"/>
  <c r="J2" i="6"/>
  <c r="M30" i="5"/>
  <c r="R29" i="5"/>
  <c r="R30" i="5" s="1"/>
  <c r="N29" i="5"/>
  <c r="N30" i="5" s="1"/>
  <c r="L29" i="5"/>
  <c r="Q29" i="5" s="1"/>
  <c r="Q30" i="5" s="1"/>
  <c r="J29" i="5"/>
  <c r="M25" i="5"/>
  <c r="R24" i="5"/>
  <c r="N24" i="5"/>
  <c r="L24" i="5"/>
  <c r="Q24" i="5" s="1"/>
  <c r="J24" i="5"/>
  <c r="R23" i="5"/>
  <c r="N23" i="5"/>
  <c r="L23" i="5"/>
  <c r="P23" i="5" s="1"/>
  <c r="J23" i="5"/>
  <c r="M20" i="5"/>
  <c r="R19" i="5"/>
  <c r="N19" i="5"/>
  <c r="L19" i="5"/>
  <c r="P19" i="5" s="1"/>
  <c r="J19" i="5"/>
  <c r="R18" i="5"/>
  <c r="N18" i="5"/>
  <c r="L18" i="5"/>
  <c r="Q18" i="5" s="1"/>
  <c r="J18" i="5"/>
  <c r="R17" i="5"/>
  <c r="N17" i="5"/>
  <c r="L17" i="5"/>
  <c r="Q17" i="5" s="1"/>
  <c r="J17" i="5"/>
  <c r="R16" i="5"/>
  <c r="N16" i="5"/>
  <c r="L16" i="5"/>
  <c r="Q16" i="5" s="1"/>
  <c r="J16" i="5"/>
  <c r="R15" i="5"/>
  <c r="N15" i="5"/>
  <c r="L15" i="5"/>
  <c r="P15" i="5" s="1"/>
  <c r="J15" i="5"/>
  <c r="R14" i="5"/>
  <c r="N14" i="5"/>
  <c r="L14" i="5"/>
  <c r="Q14" i="5" s="1"/>
  <c r="J14" i="5"/>
  <c r="R13" i="5"/>
  <c r="N13" i="5"/>
  <c r="L13" i="5"/>
  <c r="Q13" i="5" s="1"/>
  <c r="J13" i="5"/>
  <c r="R12" i="5"/>
  <c r="N12" i="5"/>
  <c r="L12" i="5"/>
  <c r="Q12" i="5" s="1"/>
  <c r="J12" i="5"/>
  <c r="R11" i="5"/>
  <c r="N11" i="5"/>
  <c r="L11" i="5"/>
  <c r="Q11" i="5" s="1"/>
  <c r="J11" i="5"/>
  <c r="R10" i="5"/>
  <c r="N10" i="5"/>
  <c r="L10" i="5"/>
  <c r="Q10" i="5" s="1"/>
  <c r="J10" i="5"/>
  <c r="R9" i="5"/>
  <c r="N9" i="5"/>
  <c r="L9" i="5"/>
  <c r="P9" i="5" s="1"/>
  <c r="J9" i="5"/>
  <c r="R8" i="5"/>
  <c r="N8" i="5"/>
  <c r="L8" i="5"/>
  <c r="Q8" i="5" s="1"/>
  <c r="J8" i="5"/>
  <c r="R7" i="5"/>
  <c r="N7" i="5"/>
  <c r="L7" i="5"/>
  <c r="P7" i="5" s="1"/>
  <c r="J7" i="5"/>
  <c r="R6" i="5"/>
  <c r="N6" i="5"/>
  <c r="L6" i="5"/>
  <c r="Q6" i="5" s="1"/>
  <c r="J6" i="5"/>
  <c r="R5" i="5"/>
  <c r="N5" i="5"/>
  <c r="L5" i="5"/>
  <c r="P5" i="5" s="1"/>
  <c r="J5" i="5"/>
  <c r="R4" i="5"/>
  <c r="N4" i="5"/>
  <c r="L4" i="5"/>
  <c r="P4" i="5" s="1"/>
  <c r="J4" i="5"/>
  <c r="R3" i="5"/>
  <c r="N3" i="5"/>
  <c r="L3" i="5"/>
  <c r="Q3" i="5" s="1"/>
  <c r="J3" i="5"/>
  <c r="R2" i="5"/>
  <c r="N2" i="5"/>
  <c r="L2" i="5"/>
  <c r="P2" i="5" s="1"/>
  <c r="J2" i="5"/>
  <c r="M50" i="4"/>
  <c r="R49" i="4"/>
  <c r="N49" i="4"/>
  <c r="L49" i="4"/>
  <c r="Q49" i="4" s="1"/>
  <c r="J49" i="4"/>
  <c r="R48" i="4"/>
  <c r="N48" i="4"/>
  <c r="L48" i="4"/>
  <c r="Q48" i="4" s="1"/>
  <c r="J48" i="4"/>
  <c r="R47" i="4"/>
  <c r="N47" i="4"/>
  <c r="L47" i="4"/>
  <c r="P47" i="4" s="1"/>
  <c r="J47" i="4"/>
  <c r="R46" i="4"/>
  <c r="N46" i="4"/>
  <c r="L46" i="4"/>
  <c r="Q46" i="4" s="1"/>
  <c r="J46" i="4"/>
  <c r="R45" i="4"/>
  <c r="N45" i="4"/>
  <c r="L45" i="4"/>
  <c r="Q45" i="4" s="1"/>
  <c r="J45" i="4"/>
  <c r="R44" i="4"/>
  <c r="N44" i="4"/>
  <c r="L44" i="4"/>
  <c r="P44" i="4" s="1"/>
  <c r="J44" i="4"/>
  <c r="R43" i="4"/>
  <c r="N43" i="4"/>
  <c r="L43" i="4"/>
  <c r="Q43" i="4" s="1"/>
  <c r="J43" i="4"/>
  <c r="R42" i="4"/>
  <c r="N42" i="4"/>
  <c r="L42" i="4"/>
  <c r="Q42" i="4" s="1"/>
  <c r="J42" i="4"/>
  <c r="R41" i="4"/>
  <c r="N41" i="4"/>
  <c r="L41" i="4"/>
  <c r="P41" i="4" s="1"/>
  <c r="J41" i="4"/>
  <c r="M38" i="4"/>
  <c r="R37" i="4"/>
  <c r="N37" i="4"/>
  <c r="L37" i="4"/>
  <c r="Q37" i="4" s="1"/>
  <c r="J37" i="4"/>
  <c r="R36" i="4"/>
  <c r="N36" i="4"/>
  <c r="L36" i="4"/>
  <c r="Q36" i="4" s="1"/>
  <c r="J36" i="4"/>
  <c r="R35" i="4"/>
  <c r="N35" i="4"/>
  <c r="L35" i="4"/>
  <c r="P35" i="4" s="1"/>
  <c r="J35" i="4"/>
  <c r="R34" i="4"/>
  <c r="N34" i="4"/>
  <c r="L34" i="4"/>
  <c r="P34" i="4" s="1"/>
  <c r="J34" i="4"/>
  <c r="R33" i="4"/>
  <c r="N33" i="4"/>
  <c r="L33" i="4"/>
  <c r="P33" i="4" s="1"/>
  <c r="J33" i="4"/>
  <c r="R32" i="4"/>
  <c r="N32" i="4"/>
  <c r="L32" i="4"/>
  <c r="P32" i="4" s="1"/>
  <c r="J32" i="4"/>
  <c r="R31" i="4"/>
  <c r="N31" i="4"/>
  <c r="L31" i="4"/>
  <c r="P31" i="4" s="1"/>
  <c r="J31" i="4"/>
  <c r="R30" i="4"/>
  <c r="N30" i="4"/>
  <c r="L30" i="4"/>
  <c r="P30" i="4" s="1"/>
  <c r="J30" i="4"/>
  <c r="R29" i="4"/>
  <c r="N29" i="4"/>
  <c r="L29" i="4"/>
  <c r="Q29" i="4" s="1"/>
  <c r="J29" i="4"/>
  <c r="R28" i="4"/>
  <c r="N28" i="4"/>
  <c r="L28" i="4"/>
  <c r="P28" i="4" s="1"/>
  <c r="J28" i="4"/>
  <c r="R27" i="4"/>
  <c r="N27" i="4"/>
  <c r="L27" i="4"/>
  <c r="Q27" i="4" s="1"/>
  <c r="J27" i="4"/>
  <c r="R26" i="4"/>
  <c r="N26" i="4"/>
  <c r="L26" i="4"/>
  <c r="Q26" i="4" s="1"/>
  <c r="J26" i="4"/>
  <c r="R25" i="4"/>
  <c r="N25" i="4"/>
  <c r="L25" i="4"/>
  <c r="P25" i="4" s="1"/>
  <c r="J25" i="4"/>
  <c r="R24" i="4"/>
  <c r="N24" i="4"/>
  <c r="L24" i="4"/>
  <c r="Q24" i="4" s="1"/>
  <c r="J24" i="4"/>
  <c r="R23" i="4"/>
  <c r="N23" i="4"/>
  <c r="L23" i="4"/>
  <c r="P23" i="4" s="1"/>
  <c r="J23" i="4"/>
  <c r="R22" i="4"/>
  <c r="N22" i="4"/>
  <c r="L22" i="4"/>
  <c r="P22" i="4" s="1"/>
  <c r="J22" i="4"/>
  <c r="R21" i="4"/>
  <c r="N21" i="4"/>
  <c r="L21" i="4"/>
  <c r="P21" i="4" s="1"/>
  <c r="J21" i="4"/>
  <c r="R20" i="4"/>
  <c r="N20" i="4"/>
  <c r="L20" i="4"/>
  <c r="Q20" i="4" s="1"/>
  <c r="J20" i="4"/>
  <c r="R19" i="4"/>
  <c r="N19" i="4"/>
  <c r="L19" i="4"/>
  <c r="P19" i="4" s="1"/>
  <c r="J19" i="4"/>
  <c r="R18" i="4"/>
  <c r="N18" i="4"/>
  <c r="L18" i="4"/>
  <c r="P18" i="4" s="1"/>
  <c r="J18" i="4"/>
  <c r="R17" i="4"/>
  <c r="N17" i="4"/>
  <c r="L17" i="4"/>
  <c r="Q17" i="4" s="1"/>
  <c r="J17" i="4"/>
  <c r="R16" i="4"/>
  <c r="N16" i="4"/>
  <c r="L16" i="4"/>
  <c r="Q16" i="4" s="1"/>
  <c r="J16" i="4"/>
  <c r="R15" i="4"/>
  <c r="N15" i="4"/>
  <c r="L15" i="4"/>
  <c r="Q15" i="4" s="1"/>
  <c r="J15" i="4"/>
  <c r="R14" i="4"/>
  <c r="N14" i="4"/>
  <c r="L14" i="4"/>
  <c r="P14" i="4" s="1"/>
  <c r="J14" i="4"/>
  <c r="R13" i="4"/>
  <c r="N13" i="4"/>
  <c r="L13" i="4"/>
  <c r="P13" i="4" s="1"/>
  <c r="J13" i="4"/>
  <c r="R12" i="4"/>
  <c r="N12" i="4"/>
  <c r="L12" i="4"/>
  <c r="J12" i="4"/>
  <c r="M9" i="4"/>
  <c r="R8" i="4"/>
  <c r="N8" i="4"/>
  <c r="L8" i="4"/>
  <c r="Q8" i="4" s="1"/>
  <c r="J8" i="4"/>
  <c r="R7" i="4"/>
  <c r="N7" i="4"/>
  <c r="L7" i="4"/>
  <c r="Q7" i="4" s="1"/>
  <c r="J7" i="4"/>
  <c r="R6" i="4"/>
  <c r="N6" i="4"/>
  <c r="L6" i="4"/>
  <c r="Q6" i="4" s="1"/>
  <c r="J6" i="4"/>
  <c r="R5" i="4"/>
  <c r="N5" i="4"/>
  <c r="L5" i="4"/>
  <c r="Q5" i="4" s="1"/>
  <c r="J5" i="4"/>
  <c r="R4" i="4"/>
  <c r="N4" i="4"/>
  <c r="L4" i="4"/>
  <c r="Q4" i="4" s="1"/>
  <c r="J4" i="4"/>
  <c r="R3" i="4"/>
  <c r="N3" i="4"/>
  <c r="L3" i="4"/>
  <c r="Q3" i="4" s="1"/>
  <c r="J3" i="4"/>
  <c r="R2" i="4"/>
  <c r="N2" i="4"/>
  <c r="L2" i="4"/>
  <c r="Q2" i="4" s="1"/>
  <c r="J2" i="4"/>
  <c r="M166" i="3"/>
  <c r="R165" i="3"/>
  <c r="N165" i="3"/>
  <c r="L165" i="3"/>
  <c r="Q165" i="3" s="1"/>
  <c r="J165" i="3"/>
  <c r="R164" i="3"/>
  <c r="N164" i="3"/>
  <c r="L164" i="3"/>
  <c r="J164" i="3"/>
  <c r="R163" i="3"/>
  <c r="N163" i="3"/>
  <c r="L163" i="3"/>
  <c r="Q163" i="3" s="1"/>
  <c r="J163" i="3"/>
  <c r="R162" i="3"/>
  <c r="N162" i="3"/>
  <c r="L162" i="3"/>
  <c r="J162" i="3"/>
  <c r="R161" i="3"/>
  <c r="N161" i="3"/>
  <c r="L161" i="3"/>
  <c r="Q161" i="3" s="1"/>
  <c r="J161" i="3"/>
  <c r="R160" i="3"/>
  <c r="N160" i="3"/>
  <c r="L160" i="3"/>
  <c r="Q160" i="3" s="1"/>
  <c r="J160" i="3"/>
  <c r="R159" i="3"/>
  <c r="N159" i="3"/>
  <c r="L159" i="3"/>
  <c r="Q159" i="3" s="1"/>
  <c r="J159" i="3"/>
  <c r="R158" i="3"/>
  <c r="N158" i="3"/>
  <c r="L158" i="3"/>
  <c r="P158" i="3" s="1"/>
  <c r="J158" i="3"/>
  <c r="R157" i="3"/>
  <c r="N157" i="3"/>
  <c r="L157" i="3"/>
  <c r="Q157" i="3" s="1"/>
  <c r="J157" i="3"/>
  <c r="R156" i="3"/>
  <c r="N156" i="3"/>
  <c r="L156" i="3"/>
  <c r="Q156" i="3" s="1"/>
  <c r="J156" i="3"/>
  <c r="R155" i="3"/>
  <c r="N155" i="3"/>
  <c r="L155" i="3"/>
  <c r="Q155" i="3" s="1"/>
  <c r="J155" i="3"/>
  <c r="R154" i="3"/>
  <c r="N154" i="3"/>
  <c r="L154" i="3"/>
  <c r="J154" i="3"/>
  <c r="R153" i="3"/>
  <c r="N153" i="3"/>
  <c r="L153" i="3"/>
  <c r="Q153" i="3" s="1"/>
  <c r="J153" i="3"/>
  <c r="R152" i="3"/>
  <c r="N152" i="3"/>
  <c r="L152" i="3"/>
  <c r="J152" i="3"/>
  <c r="R151" i="3"/>
  <c r="N151" i="3"/>
  <c r="L151" i="3"/>
  <c r="Q151" i="3" s="1"/>
  <c r="J151" i="3"/>
  <c r="R150" i="3"/>
  <c r="N150" i="3"/>
  <c r="L150" i="3"/>
  <c r="Q150" i="3" s="1"/>
  <c r="J150" i="3"/>
  <c r="M147" i="3"/>
  <c r="R146" i="3"/>
  <c r="N146" i="3"/>
  <c r="L146" i="3"/>
  <c r="P146" i="3" s="1"/>
  <c r="J146" i="3"/>
  <c r="R145" i="3"/>
  <c r="N145" i="3"/>
  <c r="L145" i="3"/>
  <c r="J145" i="3"/>
  <c r="R144" i="3"/>
  <c r="N144" i="3"/>
  <c r="L144" i="3"/>
  <c r="Q144" i="3" s="1"/>
  <c r="J144" i="3"/>
  <c r="R143" i="3"/>
  <c r="N143" i="3"/>
  <c r="L143" i="3"/>
  <c r="Q143" i="3" s="1"/>
  <c r="J143" i="3"/>
  <c r="R142" i="3"/>
  <c r="N142" i="3"/>
  <c r="L142" i="3"/>
  <c r="J142" i="3"/>
  <c r="M139" i="3"/>
  <c r="R138" i="3"/>
  <c r="N138" i="3"/>
  <c r="L138" i="3"/>
  <c r="P138" i="3" s="1"/>
  <c r="J138" i="3"/>
  <c r="R137" i="3"/>
  <c r="N137" i="3"/>
  <c r="L137" i="3"/>
  <c r="P137" i="3" s="1"/>
  <c r="J137" i="3"/>
  <c r="R136" i="3"/>
  <c r="N136" i="3"/>
  <c r="L136" i="3"/>
  <c r="Q136" i="3" s="1"/>
  <c r="J136" i="3"/>
  <c r="R135" i="3"/>
  <c r="N135" i="3"/>
  <c r="L135" i="3"/>
  <c r="Q135" i="3" s="1"/>
  <c r="J135" i="3"/>
  <c r="R134" i="3"/>
  <c r="N134" i="3"/>
  <c r="L134" i="3"/>
  <c r="Q134" i="3" s="1"/>
  <c r="J134" i="3"/>
  <c r="R133" i="3"/>
  <c r="N133" i="3"/>
  <c r="L133" i="3"/>
  <c r="J133" i="3"/>
  <c r="R132" i="3"/>
  <c r="N132" i="3"/>
  <c r="L132" i="3"/>
  <c r="Q132" i="3" s="1"/>
  <c r="J132" i="3"/>
  <c r="R131" i="3"/>
  <c r="N131" i="3"/>
  <c r="L131" i="3"/>
  <c r="J131" i="3"/>
  <c r="R130" i="3"/>
  <c r="N130" i="3"/>
  <c r="L130" i="3"/>
  <c r="Q130" i="3" s="1"/>
  <c r="J130" i="3"/>
  <c r="R129" i="3"/>
  <c r="N129" i="3"/>
  <c r="L129" i="3"/>
  <c r="Q129" i="3" s="1"/>
  <c r="J129" i="3"/>
  <c r="R128" i="3"/>
  <c r="N128" i="3"/>
  <c r="L128" i="3"/>
  <c r="P128" i="3" s="1"/>
  <c r="J128" i="3"/>
  <c r="R127" i="3"/>
  <c r="N127" i="3"/>
  <c r="L127" i="3"/>
  <c r="P127" i="3" s="1"/>
  <c r="J127" i="3"/>
  <c r="R126" i="3"/>
  <c r="N126" i="3"/>
  <c r="L126" i="3"/>
  <c r="Q126" i="3" s="1"/>
  <c r="J126" i="3"/>
  <c r="R125" i="3"/>
  <c r="N125" i="3"/>
  <c r="L125" i="3"/>
  <c r="Q125" i="3" s="1"/>
  <c r="J125" i="3"/>
  <c r="R124" i="3"/>
  <c r="N124" i="3"/>
  <c r="L124" i="3"/>
  <c r="Q124" i="3" s="1"/>
  <c r="J124" i="3"/>
  <c r="R123" i="3"/>
  <c r="N123" i="3"/>
  <c r="L123" i="3"/>
  <c r="J123" i="3"/>
  <c r="R122" i="3"/>
  <c r="N122" i="3"/>
  <c r="L122" i="3"/>
  <c r="Q122" i="3" s="1"/>
  <c r="J122" i="3"/>
  <c r="R121" i="3"/>
  <c r="N121" i="3"/>
  <c r="L121" i="3"/>
  <c r="J121" i="3"/>
  <c r="R120" i="3"/>
  <c r="N120" i="3"/>
  <c r="L120" i="3"/>
  <c r="Q120" i="3" s="1"/>
  <c r="J120" i="3"/>
  <c r="R119" i="3"/>
  <c r="N119" i="3"/>
  <c r="L119" i="3"/>
  <c r="Q119" i="3" s="1"/>
  <c r="J119" i="3"/>
  <c r="R118" i="3"/>
  <c r="N118" i="3"/>
  <c r="L118" i="3"/>
  <c r="P118" i="3" s="1"/>
  <c r="J118" i="3"/>
  <c r="R117" i="3"/>
  <c r="N117" i="3"/>
  <c r="L117" i="3"/>
  <c r="P117" i="3" s="1"/>
  <c r="J117" i="3"/>
  <c r="R116" i="3"/>
  <c r="N116" i="3"/>
  <c r="L116" i="3"/>
  <c r="Q116" i="3" s="1"/>
  <c r="J116" i="3"/>
  <c r="R115" i="3"/>
  <c r="N115" i="3"/>
  <c r="L115" i="3"/>
  <c r="P115" i="3" s="1"/>
  <c r="J115" i="3"/>
  <c r="R114" i="3"/>
  <c r="N114" i="3"/>
  <c r="L114" i="3"/>
  <c r="P114" i="3" s="1"/>
  <c r="J114" i="3"/>
  <c r="R113" i="3"/>
  <c r="N113" i="3"/>
  <c r="L113" i="3"/>
  <c r="J113" i="3"/>
  <c r="R112" i="3"/>
  <c r="N112" i="3"/>
  <c r="L112" i="3"/>
  <c r="Q112" i="3" s="1"/>
  <c r="J112" i="3"/>
  <c r="R111" i="3"/>
  <c r="N111" i="3"/>
  <c r="L111" i="3"/>
  <c r="J111" i="3"/>
  <c r="R110" i="3"/>
  <c r="N110" i="3"/>
  <c r="L110" i="3"/>
  <c r="Q110" i="3" s="1"/>
  <c r="J110" i="3"/>
  <c r="R109" i="3"/>
  <c r="N109" i="3"/>
  <c r="L109" i="3"/>
  <c r="Q109" i="3" s="1"/>
  <c r="J109" i="3"/>
  <c r="R108" i="3"/>
  <c r="N108" i="3"/>
  <c r="L108" i="3"/>
  <c r="P108" i="3" s="1"/>
  <c r="J108" i="3"/>
  <c r="R107" i="3"/>
  <c r="N107" i="3"/>
  <c r="L107" i="3"/>
  <c r="P107" i="3" s="1"/>
  <c r="J107" i="3"/>
  <c r="R106" i="3"/>
  <c r="N106" i="3"/>
  <c r="L106" i="3"/>
  <c r="Q106" i="3" s="1"/>
  <c r="J106" i="3"/>
  <c r="R105" i="3"/>
  <c r="N105" i="3"/>
  <c r="L105" i="3"/>
  <c r="P105" i="3" s="1"/>
  <c r="J105" i="3"/>
  <c r="R104" i="3"/>
  <c r="N104" i="3"/>
  <c r="L104" i="3"/>
  <c r="Q104" i="3" s="1"/>
  <c r="J104" i="3"/>
  <c r="R103" i="3"/>
  <c r="N103" i="3"/>
  <c r="L103" i="3"/>
  <c r="J103" i="3"/>
  <c r="R102" i="3"/>
  <c r="N102" i="3"/>
  <c r="L102" i="3"/>
  <c r="P102" i="3" s="1"/>
  <c r="J102" i="3"/>
  <c r="R101" i="3"/>
  <c r="N101" i="3"/>
  <c r="L101" i="3"/>
  <c r="J101" i="3"/>
  <c r="R100" i="3"/>
  <c r="N100" i="3"/>
  <c r="L100" i="3"/>
  <c r="Q100" i="3" s="1"/>
  <c r="J100" i="3"/>
  <c r="R99" i="3"/>
  <c r="N99" i="3"/>
  <c r="L99" i="3"/>
  <c r="Q99" i="3" s="1"/>
  <c r="J99" i="3"/>
  <c r="R98" i="3"/>
  <c r="N98" i="3"/>
  <c r="L98" i="3"/>
  <c r="P98" i="3" s="1"/>
  <c r="J98" i="3"/>
  <c r="R97" i="3"/>
  <c r="N97" i="3"/>
  <c r="L97" i="3"/>
  <c r="P97" i="3" s="1"/>
  <c r="J97" i="3"/>
  <c r="R96" i="3"/>
  <c r="N96" i="3"/>
  <c r="L96" i="3"/>
  <c r="Q96" i="3" s="1"/>
  <c r="J96" i="3"/>
  <c r="R95" i="3"/>
  <c r="N95" i="3"/>
  <c r="L95" i="3"/>
  <c r="P95" i="3" s="1"/>
  <c r="J95" i="3"/>
  <c r="R94" i="3"/>
  <c r="N94" i="3"/>
  <c r="L94" i="3"/>
  <c r="Q94" i="3" s="1"/>
  <c r="J94" i="3"/>
  <c r="R93" i="3"/>
  <c r="N93" i="3"/>
  <c r="L93" i="3"/>
  <c r="J93" i="3"/>
  <c r="R92" i="3"/>
  <c r="N92" i="3"/>
  <c r="L92" i="3"/>
  <c r="Q92" i="3" s="1"/>
  <c r="J92" i="3"/>
  <c r="R91" i="3"/>
  <c r="N91" i="3"/>
  <c r="L91" i="3"/>
  <c r="J91" i="3"/>
  <c r="R90" i="3"/>
  <c r="N90" i="3"/>
  <c r="L90" i="3"/>
  <c r="Q90" i="3" s="1"/>
  <c r="J90" i="3"/>
  <c r="R89" i="3"/>
  <c r="N89" i="3"/>
  <c r="L89" i="3"/>
  <c r="Q89" i="3" s="1"/>
  <c r="J89" i="3"/>
  <c r="R88" i="3"/>
  <c r="N88" i="3"/>
  <c r="L88" i="3"/>
  <c r="P88" i="3" s="1"/>
  <c r="J88" i="3"/>
  <c r="R87" i="3"/>
  <c r="N87" i="3"/>
  <c r="L87" i="3"/>
  <c r="Q87" i="3" s="1"/>
  <c r="J87" i="3"/>
  <c r="M84" i="3"/>
  <c r="R83" i="3"/>
  <c r="N83" i="3"/>
  <c r="L83" i="3"/>
  <c r="P83" i="3" s="1"/>
  <c r="J83" i="3"/>
  <c r="R82" i="3"/>
  <c r="N82" i="3"/>
  <c r="L82" i="3"/>
  <c r="Q82" i="3" s="1"/>
  <c r="J82" i="3"/>
  <c r="R81" i="3"/>
  <c r="N81" i="3"/>
  <c r="L81" i="3"/>
  <c r="J81" i="3"/>
  <c r="R80" i="3"/>
  <c r="N80" i="3"/>
  <c r="L80" i="3"/>
  <c r="Q80" i="3" s="1"/>
  <c r="J80" i="3"/>
  <c r="M77" i="3"/>
  <c r="R76" i="3"/>
  <c r="N76" i="3"/>
  <c r="L76" i="3"/>
  <c r="P76" i="3" s="1"/>
  <c r="J76" i="3"/>
  <c r="R75" i="3"/>
  <c r="N75" i="3"/>
  <c r="L75" i="3"/>
  <c r="Q75" i="3" s="1"/>
  <c r="J75" i="3"/>
  <c r="R74" i="3"/>
  <c r="N74" i="3"/>
  <c r="L74" i="3"/>
  <c r="P74" i="3" s="1"/>
  <c r="J74" i="3"/>
  <c r="R73" i="3"/>
  <c r="N73" i="3"/>
  <c r="L73" i="3"/>
  <c r="Q73" i="3" s="1"/>
  <c r="J73" i="3"/>
  <c r="R72" i="3"/>
  <c r="N72" i="3"/>
  <c r="L72" i="3"/>
  <c r="J72" i="3"/>
  <c r="R71" i="3"/>
  <c r="N71" i="3"/>
  <c r="L71" i="3"/>
  <c r="Q71" i="3" s="1"/>
  <c r="J71" i="3"/>
  <c r="R70" i="3"/>
  <c r="N70" i="3"/>
  <c r="L70" i="3"/>
  <c r="J70" i="3"/>
  <c r="R69" i="3"/>
  <c r="N69" i="3"/>
  <c r="L69" i="3"/>
  <c r="Q69" i="3" s="1"/>
  <c r="J69" i="3"/>
  <c r="R68" i="3"/>
  <c r="N68" i="3"/>
  <c r="L68" i="3"/>
  <c r="Q68" i="3" s="1"/>
  <c r="J68" i="3"/>
  <c r="R67" i="3"/>
  <c r="N67" i="3"/>
  <c r="L67" i="3"/>
  <c r="P67" i="3" s="1"/>
  <c r="J67" i="3"/>
  <c r="R66" i="3"/>
  <c r="N66" i="3"/>
  <c r="L66" i="3"/>
  <c r="P66" i="3" s="1"/>
  <c r="J66" i="3"/>
  <c r="R65" i="3"/>
  <c r="N65" i="3"/>
  <c r="L65" i="3"/>
  <c r="P65" i="3" s="1"/>
  <c r="J65" i="3"/>
  <c r="R64" i="3"/>
  <c r="N64" i="3"/>
  <c r="L64" i="3"/>
  <c r="Q64" i="3" s="1"/>
  <c r="J64" i="3"/>
  <c r="R63" i="3"/>
  <c r="N63" i="3"/>
  <c r="L63" i="3"/>
  <c r="Q63" i="3" s="1"/>
  <c r="J63" i="3"/>
  <c r="R62" i="3"/>
  <c r="N62" i="3"/>
  <c r="L62" i="3"/>
  <c r="J62" i="3"/>
  <c r="R61" i="3"/>
  <c r="N61" i="3"/>
  <c r="L61" i="3"/>
  <c r="Q61" i="3" s="1"/>
  <c r="J61" i="3"/>
  <c r="R60" i="3"/>
  <c r="N60" i="3"/>
  <c r="L60" i="3"/>
  <c r="J60" i="3"/>
  <c r="R59" i="3"/>
  <c r="N59" i="3"/>
  <c r="L59" i="3"/>
  <c r="Q59" i="3" s="1"/>
  <c r="J59" i="3"/>
  <c r="R58" i="3"/>
  <c r="N58" i="3"/>
  <c r="L58" i="3"/>
  <c r="P58" i="3" s="1"/>
  <c r="J58" i="3"/>
  <c r="R57" i="3"/>
  <c r="N57" i="3"/>
  <c r="L57" i="3"/>
  <c r="P57" i="3" s="1"/>
  <c r="J57" i="3"/>
  <c r="R56" i="3"/>
  <c r="N56" i="3"/>
  <c r="L56" i="3"/>
  <c r="P56" i="3" s="1"/>
  <c r="J56" i="3"/>
  <c r="R55" i="3"/>
  <c r="N55" i="3"/>
  <c r="L55" i="3"/>
  <c r="P55" i="3" s="1"/>
  <c r="J55" i="3"/>
  <c r="R54" i="3"/>
  <c r="N54" i="3"/>
  <c r="L54" i="3"/>
  <c r="Q54" i="3" s="1"/>
  <c r="J54" i="3"/>
  <c r="R53" i="3"/>
  <c r="N53" i="3"/>
  <c r="L53" i="3"/>
  <c r="Q53" i="3" s="1"/>
  <c r="J53" i="3"/>
  <c r="R52" i="3"/>
  <c r="N52" i="3"/>
  <c r="L52" i="3"/>
  <c r="J52" i="3"/>
  <c r="R51" i="3"/>
  <c r="N51" i="3"/>
  <c r="L51" i="3"/>
  <c r="Q51" i="3" s="1"/>
  <c r="J51" i="3"/>
  <c r="R50" i="3"/>
  <c r="N50" i="3"/>
  <c r="L50" i="3"/>
  <c r="J50" i="3"/>
  <c r="R49" i="3"/>
  <c r="N49" i="3"/>
  <c r="L49" i="3"/>
  <c r="Q49" i="3" s="1"/>
  <c r="J49" i="3"/>
  <c r="R48" i="3"/>
  <c r="N48" i="3"/>
  <c r="L48" i="3"/>
  <c r="Q48" i="3" s="1"/>
  <c r="J48" i="3"/>
  <c r="R47" i="3"/>
  <c r="N47" i="3"/>
  <c r="L47" i="3"/>
  <c r="P47" i="3" s="1"/>
  <c r="J47" i="3"/>
  <c r="R46" i="3"/>
  <c r="N46" i="3"/>
  <c r="L46" i="3"/>
  <c r="P46" i="3" s="1"/>
  <c r="J46" i="3"/>
  <c r="R45" i="3"/>
  <c r="N45" i="3"/>
  <c r="L45" i="3"/>
  <c r="Q45" i="3" s="1"/>
  <c r="J45" i="3"/>
  <c r="R44" i="3"/>
  <c r="N44" i="3"/>
  <c r="L44" i="3"/>
  <c r="Q44" i="3" s="1"/>
  <c r="J44" i="3"/>
  <c r="R43" i="3"/>
  <c r="N43" i="3"/>
  <c r="L43" i="3"/>
  <c r="P43" i="3" s="1"/>
  <c r="J43" i="3"/>
  <c r="R42" i="3"/>
  <c r="N42" i="3"/>
  <c r="L42" i="3"/>
  <c r="J42" i="3"/>
  <c r="R41" i="3"/>
  <c r="N41" i="3"/>
  <c r="L41" i="3"/>
  <c r="P41" i="3" s="1"/>
  <c r="J41" i="3"/>
  <c r="R40" i="3"/>
  <c r="N40" i="3"/>
  <c r="L40" i="3"/>
  <c r="J40" i="3"/>
  <c r="R39" i="3"/>
  <c r="N39" i="3"/>
  <c r="L39" i="3"/>
  <c r="Q39" i="3" s="1"/>
  <c r="J39" i="3"/>
  <c r="R38" i="3"/>
  <c r="N38" i="3"/>
  <c r="L38" i="3"/>
  <c r="P38" i="3" s="1"/>
  <c r="J38" i="3"/>
  <c r="R37" i="3"/>
  <c r="N37" i="3"/>
  <c r="L37" i="3"/>
  <c r="P37" i="3" s="1"/>
  <c r="J37" i="3"/>
  <c r="R36" i="3"/>
  <c r="N36" i="3"/>
  <c r="L36" i="3"/>
  <c r="P36" i="3" s="1"/>
  <c r="J36" i="3"/>
  <c r="R35" i="3"/>
  <c r="N35" i="3"/>
  <c r="L35" i="3"/>
  <c r="Q35" i="3" s="1"/>
  <c r="J35" i="3"/>
  <c r="R34" i="3"/>
  <c r="N34" i="3"/>
  <c r="L34" i="3"/>
  <c r="Q34" i="3" s="1"/>
  <c r="J34" i="3"/>
  <c r="R33" i="3"/>
  <c r="N33" i="3"/>
  <c r="L33" i="3"/>
  <c r="P33" i="3" s="1"/>
  <c r="J33" i="3"/>
  <c r="R32" i="3"/>
  <c r="N32" i="3"/>
  <c r="L32" i="3"/>
  <c r="J32" i="3"/>
  <c r="R31" i="3"/>
  <c r="N31" i="3"/>
  <c r="L31" i="3"/>
  <c r="P31" i="3" s="1"/>
  <c r="J31" i="3"/>
  <c r="R30" i="3"/>
  <c r="N30" i="3"/>
  <c r="L30" i="3"/>
  <c r="J30" i="3"/>
  <c r="R29" i="3"/>
  <c r="N29" i="3"/>
  <c r="L29" i="3"/>
  <c r="Q29" i="3" s="1"/>
  <c r="J29" i="3"/>
  <c r="R28" i="3"/>
  <c r="N28" i="3"/>
  <c r="L28" i="3"/>
  <c r="P28" i="3" s="1"/>
  <c r="J28" i="3"/>
  <c r="R27" i="3"/>
  <c r="N27" i="3"/>
  <c r="L27" i="3"/>
  <c r="P27" i="3" s="1"/>
  <c r="J27" i="3"/>
  <c r="R26" i="3"/>
  <c r="N26" i="3"/>
  <c r="L26" i="3"/>
  <c r="P26" i="3" s="1"/>
  <c r="J26" i="3"/>
  <c r="M23" i="3"/>
  <c r="R22" i="3"/>
  <c r="N22" i="3"/>
  <c r="L22" i="3"/>
  <c r="P22" i="3" s="1"/>
  <c r="J22" i="3"/>
  <c r="R21" i="3"/>
  <c r="N21" i="3"/>
  <c r="L21" i="3"/>
  <c r="Q21" i="3" s="1"/>
  <c r="J21" i="3"/>
  <c r="R20" i="3"/>
  <c r="N20" i="3"/>
  <c r="L20" i="3"/>
  <c r="J20" i="3"/>
  <c r="R19" i="3"/>
  <c r="N19" i="3"/>
  <c r="L19" i="3"/>
  <c r="Q19" i="3" s="1"/>
  <c r="J19" i="3"/>
  <c r="R18" i="3"/>
  <c r="N18" i="3"/>
  <c r="L18" i="3"/>
  <c r="J18" i="3"/>
  <c r="R17" i="3"/>
  <c r="N17" i="3"/>
  <c r="L17" i="3"/>
  <c r="Q17" i="3" s="1"/>
  <c r="J17" i="3"/>
  <c r="R16" i="3"/>
  <c r="N16" i="3"/>
  <c r="L16" i="3"/>
  <c r="P16" i="3" s="1"/>
  <c r="J16" i="3"/>
  <c r="R15" i="3"/>
  <c r="N15" i="3"/>
  <c r="L15" i="3"/>
  <c r="Q15" i="3" s="1"/>
  <c r="J15" i="3"/>
  <c r="R14" i="3"/>
  <c r="N14" i="3"/>
  <c r="L14" i="3"/>
  <c r="Q14" i="3" s="1"/>
  <c r="J14" i="3"/>
  <c r="R13" i="3"/>
  <c r="N13" i="3"/>
  <c r="L13" i="3"/>
  <c r="Q13" i="3" s="1"/>
  <c r="J13" i="3"/>
  <c r="R12" i="3"/>
  <c r="N12" i="3"/>
  <c r="L12" i="3"/>
  <c r="P12" i="3" s="1"/>
  <c r="J12" i="3"/>
  <c r="R11" i="3"/>
  <c r="N11" i="3"/>
  <c r="L11" i="3"/>
  <c r="Q11" i="3" s="1"/>
  <c r="J11" i="3"/>
  <c r="R10" i="3"/>
  <c r="N10" i="3"/>
  <c r="L10" i="3"/>
  <c r="J10" i="3"/>
  <c r="R9" i="3"/>
  <c r="N9" i="3"/>
  <c r="L9" i="3"/>
  <c r="P9" i="3" s="1"/>
  <c r="J9" i="3"/>
  <c r="R8" i="3"/>
  <c r="N8" i="3"/>
  <c r="L8" i="3"/>
  <c r="J8" i="3"/>
  <c r="R7" i="3"/>
  <c r="N7" i="3"/>
  <c r="L7" i="3"/>
  <c r="Q7" i="3" s="1"/>
  <c r="J7" i="3"/>
  <c r="R6" i="3"/>
  <c r="N6" i="3"/>
  <c r="L6" i="3"/>
  <c r="P6" i="3" s="1"/>
  <c r="J6" i="3"/>
  <c r="R5" i="3"/>
  <c r="N5" i="3"/>
  <c r="L5" i="3"/>
  <c r="P5" i="3" s="1"/>
  <c r="J5" i="3"/>
  <c r="R4" i="3"/>
  <c r="N4" i="3"/>
  <c r="L4" i="3"/>
  <c r="Q4" i="3" s="1"/>
  <c r="J4" i="3"/>
  <c r="R3" i="3"/>
  <c r="N3" i="3"/>
  <c r="L3" i="3"/>
  <c r="Q3" i="3" s="1"/>
  <c r="J3" i="3"/>
  <c r="R2" i="3"/>
  <c r="N2" i="3"/>
  <c r="L2" i="3"/>
  <c r="P2" i="3" s="1"/>
  <c r="J2" i="3"/>
  <c r="J2" i="2"/>
  <c r="L2" i="2"/>
  <c r="N2" i="2"/>
  <c r="P2" i="2"/>
  <c r="Q2" i="2"/>
  <c r="R2" i="2"/>
  <c r="J3" i="2"/>
  <c r="L3" i="2"/>
  <c r="N3" i="2"/>
  <c r="Q3" i="2"/>
  <c r="R3" i="2"/>
  <c r="J4" i="2"/>
  <c r="L4" i="2"/>
  <c r="N4" i="2"/>
  <c r="P4" i="2"/>
  <c r="Q4" i="2"/>
  <c r="R4" i="2"/>
  <c r="J5" i="2"/>
  <c r="L5" i="2"/>
  <c r="P5" i="2" s="1"/>
  <c r="N5" i="2"/>
  <c r="R5" i="2"/>
  <c r="J6" i="2"/>
  <c r="L6" i="2"/>
  <c r="N6" i="2"/>
  <c r="P6" i="2"/>
  <c r="Q6" i="2"/>
  <c r="R6" i="2"/>
  <c r="J7" i="2"/>
  <c r="L7" i="2"/>
  <c r="N7" i="2"/>
  <c r="P7" i="2"/>
  <c r="Q7" i="2"/>
  <c r="R7" i="2"/>
  <c r="J8" i="2"/>
  <c r="L8" i="2"/>
  <c r="Q8" i="2" s="1"/>
  <c r="N8" i="2"/>
  <c r="P8" i="2"/>
  <c r="R8" i="2"/>
  <c r="J9" i="2"/>
  <c r="L9" i="2"/>
  <c r="N9" i="2"/>
  <c r="P9" i="2"/>
  <c r="Q9" i="2"/>
  <c r="R9" i="2"/>
  <c r="J10" i="2"/>
  <c r="L10" i="2"/>
  <c r="N10" i="2"/>
  <c r="P10" i="2"/>
  <c r="Q10" i="2"/>
  <c r="R10" i="2"/>
  <c r="J11" i="2"/>
  <c r="L11" i="2"/>
  <c r="N11" i="2"/>
  <c r="P11" i="2"/>
  <c r="Q11" i="2"/>
  <c r="R11" i="2"/>
  <c r="M12" i="2"/>
  <c r="J15" i="2"/>
  <c r="L15" i="2"/>
  <c r="N15" i="2"/>
  <c r="P15" i="2"/>
  <c r="Q15" i="2"/>
  <c r="R15" i="2"/>
  <c r="J16" i="2"/>
  <c r="L16" i="2"/>
  <c r="N16" i="2"/>
  <c r="P16" i="2"/>
  <c r="Q16" i="2"/>
  <c r="R16" i="2"/>
  <c r="J17" i="2"/>
  <c r="L17" i="2"/>
  <c r="P17" i="2" s="1"/>
  <c r="N17" i="2"/>
  <c r="R17" i="2"/>
  <c r="J18" i="2"/>
  <c r="L18" i="2"/>
  <c r="N18" i="2"/>
  <c r="P18" i="2"/>
  <c r="Q18" i="2"/>
  <c r="R18" i="2"/>
  <c r="J19" i="2"/>
  <c r="L19" i="2"/>
  <c r="N19" i="2"/>
  <c r="P19" i="2"/>
  <c r="Q19" i="2"/>
  <c r="R19" i="2"/>
  <c r="J20" i="2"/>
  <c r="L20" i="2"/>
  <c r="N20" i="2"/>
  <c r="P20" i="2"/>
  <c r="Q20" i="2"/>
  <c r="R20" i="2"/>
  <c r="J21" i="2"/>
  <c r="L21" i="2"/>
  <c r="P21" i="2" s="1"/>
  <c r="N21" i="2"/>
  <c r="R21" i="2"/>
  <c r="J22" i="2"/>
  <c r="L22" i="2"/>
  <c r="N22" i="2"/>
  <c r="P22" i="2"/>
  <c r="Q22" i="2"/>
  <c r="R22" i="2"/>
  <c r="J23" i="2"/>
  <c r="L23" i="2"/>
  <c r="N23" i="2"/>
  <c r="P23" i="2"/>
  <c r="Q23" i="2"/>
  <c r="R23" i="2"/>
  <c r="J24" i="2"/>
  <c r="L24" i="2"/>
  <c r="Q24" i="2" s="1"/>
  <c r="N24" i="2"/>
  <c r="P24" i="2"/>
  <c r="R24" i="2"/>
  <c r="J25" i="2"/>
  <c r="L25" i="2"/>
  <c r="N25" i="2"/>
  <c r="P25" i="2"/>
  <c r="Q25" i="2"/>
  <c r="R25" i="2"/>
  <c r="J26" i="2"/>
  <c r="L26" i="2"/>
  <c r="N26" i="2"/>
  <c r="P26" i="2"/>
  <c r="Q26" i="2"/>
  <c r="R26" i="2"/>
  <c r="J27" i="2"/>
  <c r="L27" i="2"/>
  <c r="P27" i="2" s="1"/>
  <c r="N27" i="2"/>
  <c r="R27" i="2"/>
  <c r="J28" i="2"/>
  <c r="L28" i="2"/>
  <c r="N28" i="2"/>
  <c r="P28" i="2"/>
  <c r="Q28" i="2"/>
  <c r="R28" i="2"/>
  <c r="J29" i="2"/>
  <c r="L29" i="2"/>
  <c r="N29" i="2"/>
  <c r="P29" i="2"/>
  <c r="Q29" i="2"/>
  <c r="R29" i="2"/>
  <c r="J30" i="2"/>
  <c r="L30" i="2"/>
  <c r="N30" i="2"/>
  <c r="P30" i="2"/>
  <c r="Q30" i="2"/>
  <c r="R30" i="2"/>
  <c r="M31" i="2"/>
  <c r="J34" i="2"/>
  <c r="L34" i="2"/>
  <c r="P34" i="2" s="1"/>
  <c r="N34" i="2"/>
  <c r="Q34" i="2"/>
  <c r="R34" i="2"/>
  <c r="J35" i="2"/>
  <c r="L35" i="2"/>
  <c r="N35" i="2"/>
  <c r="P35" i="2"/>
  <c r="Q35" i="2"/>
  <c r="R35" i="2"/>
  <c r="J36" i="2"/>
  <c r="L36" i="2"/>
  <c r="P36" i="2" s="1"/>
  <c r="N36" i="2"/>
  <c r="R36" i="2"/>
  <c r="J37" i="2"/>
  <c r="L37" i="2"/>
  <c r="N37" i="2"/>
  <c r="P37" i="2"/>
  <c r="Q37" i="2"/>
  <c r="R37" i="2"/>
  <c r="J38" i="2"/>
  <c r="L38" i="2"/>
  <c r="N38" i="2"/>
  <c r="P38" i="2"/>
  <c r="Q38" i="2"/>
  <c r="R38" i="2"/>
  <c r="J39" i="2"/>
  <c r="L39" i="2"/>
  <c r="Q39" i="2" s="1"/>
  <c r="N39" i="2"/>
  <c r="P39" i="2"/>
  <c r="R39" i="2"/>
  <c r="J40" i="2"/>
  <c r="L40" i="2"/>
  <c r="N40" i="2"/>
  <c r="P40" i="2"/>
  <c r="Q40" i="2"/>
  <c r="R40" i="2"/>
  <c r="J41" i="2"/>
  <c r="L41" i="2"/>
  <c r="N41" i="2"/>
  <c r="P41" i="2"/>
  <c r="Q41" i="2"/>
  <c r="R41" i="2"/>
  <c r="J42" i="2"/>
  <c r="L42" i="2"/>
  <c r="N42" i="2"/>
  <c r="P42" i="2"/>
  <c r="Q42" i="2"/>
  <c r="R42" i="2"/>
  <c r="M43" i="2"/>
  <c r="J46" i="2"/>
  <c r="L46" i="2"/>
  <c r="N46" i="2"/>
  <c r="P46" i="2"/>
  <c r="Q46" i="2"/>
  <c r="R46" i="2"/>
  <c r="J47" i="2"/>
  <c r="L47" i="2"/>
  <c r="N47" i="2"/>
  <c r="P47" i="2"/>
  <c r="Q47" i="2"/>
  <c r="R47" i="2"/>
  <c r="J48" i="2"/>
  <c r="L48" i="2"/>
  <c r="P48" i="2" s="1"/>
  <c r="N48" i="2"/>
  <c r="R48" i="2"/>
  <c r="J49" i="2"/>
  <c r="L49" i="2"/>
  <c r="N49" i="2"/>
  <c r="P49" i="2"/>
  <c r="Q49" i="2"/>
  <c r="R49" i="2"/>
  <c r="J50" i="2"/>
  <c r="L50" i="2"/>
  <c r="N50" i="2"/>
  <c r="P50" i="2"/>
  <c r="Q50" i="2"/>
  <c r="R50" i="2"/>
  <c r="J51" i="2"/>
  <c r="L51" i="2"/>
  <c r="N51" i="2"/>
  <c r="P51" i="2"/>
  <c r="Q51" i="2"/>
  <c r="R51" i="2"/>
  <c r="J52" i="2"/>
  <c r="L52" i="2"/>
  <c r="P52" i="2" s="1"/>
  <c r="N52" i="2"/>
  <c r="R52" i="2"/>
  <c r="J53" i="2"/>
  <c r="L53" i="2"/>
  <c r="N53" i="2"/>
  <c r="P53" i="2"/>
  <c r="Q53" i="2"/>
  <c r="R53" i="2"/>
  <c r="J54" i="2"/>
  <c r="L54" i="2"/>
  <c r="N54" i="2"/>
  <c r="P54" i="2"/>
  <c r="Q54" i="2"/>
  <c r="R54" i="2"/>
  <c r="J55" i="2"/>
  <c r="L55" i="2"/>
  <c r="Q55" i="2" s="1"/>
  <c r="N55" i="2"/>
  <c r="P55" i="2"/>
  <c r="R55" i="2"/>
  <c r="J56" i="2"/>
  <c r="L56" i="2"/>
  <c r="N56" i="2"/>
  <c r="P56" i="2"/>
  <c r="Q56" i="2"/>
  <c r="R56" i="2"/>
  <c r="J57" i="2"/>
  <c r="L57" i="2"/>
  <c r="N57" i="2"/>
  <c r="P57" i="2"/>
  <c r="Q57" i="2"/>
  <c r="R57" i="2"/>
  <c r="J58" i="2"/>
  <c r="L58" i="2"/>
  <c r="P58" i="2" s="1"/>
  <c r="N58" i="2"/>
  <c r="R58" i="2"/>
  <c r="J59" i="2"/>
  <c r="L59" i="2"/>
  <c r="N59" i="2"/>
  <c r="P59" i="2"/>
  <c r="Q59" i="2"/>
  <c r="R59" i="2"/>
  <c r="J60" i="2"/>
  <c r="L60" i="2"/>
  <c r="N60" i="2"/>
  <c r="P60" i="2"/>
  <c r="Q60" i="2"/>
  <c r="R60" i="2"/>
  <c r="J61" i="2"/>
  <c r="L61" i="2"/>
  <c r="N61" i="2"/>
  <c r="P61" i="2"/>
  <c r="Q61" i="2"/>
  <c r="R61" i="2"/>
  <c r="J62" i="2"/>
  <c r="L62" i="2"/>
  <c r="P62" i="2" s="1"/>
  <c r="N62" i="2"/>
  <c r="R62" i="2"/>
  <c r="J63" i="2"/>
  <c r="L63" i="2"/>
  <c r="N63" i="2"/>
  <c r="P63" i="2"/>
  <c r="Q63" i="2"/>
  <c r="R63" i="2"/>
  <c r="J64" i="2"/>
  <c r="L64" i="2"/>
  <c r="N64" i="2"/>
  <c r="P64" i="2"/>
  <c r="Q64" i="2"/>
  <c r="R64" i="2"/>
  <c r="J65" i="2"/>
  <c r="L65" i="2"/>
  <c r="P65" i="2" s="1"/>
  <c r="N65" i="2"/>
  <c r="R65" i="2"/>
  <c r="J66" i="2"/>
  <c r="L66" i="2"/>
  <c r="N66" i="2"/>
  <c r="P66" i="2"/>
  <c r="Q66" i="2"/>
  <c r="R66" i="2"/>
  <c r="J67" i="2"/>
  <c r="L67" i="2"/>
  <c r="N67" i="2"/>
  <c r="P67" i="2"/>
  <c r="Q67" i="2"/>
  <c r="R67" i="2"/>
  <c r="J68" i="2"/>
  <c r="L68" i="2"/>
  <c r="P68" i="2" s="1"/>
  <c r="N68" i="2"/>
  <c r="R68" i="2"/>
  <c r="J69" i="2"/>
  <c r="L69" i="2"/>
  <c r="N69" i="2"/>
  <c r="P69" i="2"/>
  <c r="Q69" i="2"/>
  <c r="R69" i="2"/>
  <c r="J70" i="2"/>
  <c r="L70" i="2"/>
  <c r="N70" i="2"/>
  <c r="P70" i="2"/>
  <c r="Q70" i="2"/>
  <c r="R70" i="2"/>
  <c r="J71" i="2"/>
  <c r="L71" i="2"/>
  <c r="N71" i="2"/>
  <c r="P71" i="2"/>
  <c r="Q71" i="2"/>
  <c r="R71" i="2"/>
  <c r="J72" i="2"/>
  <c r="L72" i="2"/>
  <c r="P72" i="2" s="1"/>
  <c r="N72" i="2"/>
  <c r="R72" i="2"/>
  <c r="J73" i="2"/>
  <c r="L73" i="2"/>
  <c r="N73" i="2"/>
  <c r="P73" i="2"/>
  <c r="Q73" i="2"/>
  <c r="R73" i="2"/>
  <c r="J74" i="2"/>
  <c r="L74" i="2"/>
  <c r="N74" i="2"/>
  <c r="P74" i="2"/>
  <c r="Q74" i="2"/>
  <c r="R74" i="2"/>
  <c r="J75" i="2"/>
  <c r="L75" i="2"/>
  <c r="P75" i="2" s="1"/>
  <c r="N75" i="2"/>
  <c r="R75" i="2"/>
  <c r="J76" i="2"/>
  <c r="L76" i="2"/>
  <c r="N76" i="2"/>
  <c r="P76" i="2"/>
  <c r="Q76" i="2"/>
  <c r="R76" i="2"/>
  <c r="J77" i="2"/>
  <c r="L77" i="2"/>
  <c r="N77" i="2"/>
  <c r="P77" i="2"/>
  <c r="Q77" i="2"/>
  <c r="R77" i="2"/>
  <c r="J78" i="2"/>
  <c r="L78" i="2"/>
  <c r="P78" i="2" s="1"/>
  <c r="N78" i="2"/>
  <c r="R78" i="2"/>
  <c r="J79" i="2"/>
  <c r="L79" i="2"/>
  <c r="N79" i="2"/>
  <c r="P79" i="2"/>
  <c r="Q79" i="2"/>
  <c r="R79" i="2"/>
  <c r="J80" i="2"/>
  <c r="L80" i="2"/>
  <c r="N80" i="2"/>
  <c r="P80" i="2"/>
  <c r="Q80" i="2"/>
  <c r="R80" i="2"/>
  <c r="J81" i="2"/>
  <c r="L81" i="2"/>
  <c r="N81" i="2"/>
  <c r="P81" i="2"/>
  <c r="Q81" i="2"/>
  <c r="R81" i="2"/>
  <c r="J82" i="2"/>
  <c r="L82" i="2"/>
  <c r="P82" i="2" s="1"/>
  <c r="N82" i="2"/>
  <c r="R82" i="2"/>
  <c r="J83" i="2"/>
  <c r="L83" i="2"/>
  <c r="N83" i="2"/>
  <c r="P83" i="2"/>
  <c r="Q83" i="2"/>
  <c r="R83" i="2"/>
  <c r="J84" i="2"/>
  <c r="L84" i="2"/>
  <c r="N84" i="2"/>
  <c r="P84" i="2"/>
  <c r="Q84" i="2"/>
  <c r="R84" i="2"/>
  <c r="J85" i="2"/>
  <c r="L85" i="2"/>
  <c r="P85" i="2" s="1"/>
  <c r="N85" i="2"/>
  <c r="R85" i="2"/>
  <c r="J86" i="2"/>
  <c r="L86" i="2"/>
  <c r="N86" i="2"/>
  <c r="P86" i="2"/>
  <c r="Q86" i="2"/>
  <c r="R86" i="2"/>
  <c r="J87" i="2"/>
  <c r="L87" i="2"/>
  <c r="N87" i="2"/>
  <c r="P87" i="2"/>
  <c r="Q87" i="2"/>
  <c r="R87" i="2"/>
  <c r="J88" i="2"/>
  <c r="L88" i="2"/>
  <c r="P88" i="2" s="1"/>
  <c r="N88" i="2"/>
  <c r="R88" i="2"/>
  <c r="J89" i="2"/>
  <c r="L89" i="2"/>
  <c r="N89" i="2"/>
  <c r="P89" i="2"/>
  <c r="Q89" i="2"/>
  <c r="R89" i="2"/>
  <c r="M90" i="2"/>
  <c r="R90" i="2" l="1"/>
  <c r="N90" i="2"/>
  <c r="L90" i="2"/>
  <c r="N43" i="2"/>
  <c r="L43" i="2"/>
  <c r="R43" i="2"/>
  <c r="R31" i="2"/>
  <c r="N31" i="2"/>
  <c r="L31" i="2"/>
  <c r="N12" i="2"/>
  <c r="L12" i="2"/>
  <c r="R12" i="2"/>
  <c r="R25" i="5"/>
  <c r="Q3" i="6"/>
  <c r="Q6" i="6" s="1"/>
  <c r="P3" i="6"/>
  <c r="P4" i="16"/>
  <c r="Q4" i="16"/>
  <c r="N9" i="16"/>
  <c r="Q42" i="35"/>
  <c r="P42" i="35"/>
  <c r="Q3" i="36"/>
  <c r="P3" i="36"/>
  <c r="P33" i="36"/>
  <c r="P50" i="36"/>
  <c r="Q23" i="36"/>
  <c r="P45" i="36"/>
  <c r="Q6" i="36"/>
  <c r="Q16" i="36"/>
  <c r="Q57" i="36"/>
  <c r="P8" i="36"/>
  <c r="Q21" i="36"/>
  <c r="P13" i="36"/>
  <c r="Q26" i="36"/>
  <c r="P18" i="36"/>
  <c r="Q31" i="36"/>
  <c r="Q54" i="36"/>
  <c r="R60" i="36"/>
  <c r="P59" i="36"/>
  <c r="N60" i="36"/>
  <c r="L34" i="36"/>
  <c r="P28" i="36"/>
  <c r="R34" i="36"/>
  <c r="L60" i="36"/>
  <c r="L51" i="36"/>
  <c r="Q11" i="36"/>
  <c r="P40" i="36"/>
  <c r="N51" i="36"/>
  <c r="R51" i="36"/>
  <c r="N34" i="36"/>
  <c r="P37" i="36"/>
  <c r="P47" i="36"/>
  <c r="P5" i="36"/>
  <c r="P15" i="36"/>
  <c r="P25" i="36"/>
  <c r="Q37" i="36"/>
  <c r="Q51" i="36" s="1"/>
  <c r="P56" i="36"/>
  <c r="P44" i="36"/>
  <c r="Q56" i="36"/>
  <c r="P2" i="36"/>
  <c r="P12" i="36"/>
  <c r="P22" i="36"/>
  <c r="P32" i="36"/>
  <c r="Q2" i="36"/>
  <c r="P41" i="36"/>
  <c r="P9" i="36"/>
  <c r="P19" i="36"/>
  <c r="P29" i="36"/>
  <c r="P38" i="36"/>
  <c r="P48" i="36"/>
  <c r="P42" i="36"/>
  <c r="P63" i="36"/>
  <c r="P10" i="36"/>
  <c r="P30" i="36"/>
  <c r="Q63" i="36"/>
  <c r="Q64" i="36" s="1"/>
  <c r="P39" i="36"/>
  <c r="P49" i="36"/>
  <c r="P7" i="36"/>
  <c r="Q27" i="36"/>
  <c r="P46" i="36"/>
  <c r="P4" i="36"/>
  <c r="P55" i="36"/>
  <c r="Q14" i="36"/>
  <c r="Q24" i="36"/>
  <c r="P43" i="36"/>
  <c r="P20" i="36"/>
  <c r="P17" i="36"/>
  <c r="P58" i="36"/>
  <c r="N5" i="35"/>
  <c r="P33" i="35"/>
  <c r="Q34" i="35"/>
  <c r="Q24" i="35"/>
  <c r="P13" i="35"/>
  <c r="Q21" i="35"/>
  <c r="Q44" i="35"/>
  <c r="P31" i="35"/>
  <c r="P2" i="35"/>
  <c r="L17" i="35"/>
  <c r="N17" i="35"/>
  <c r="Q16" i="35"/>
  <c r="P23" i="35"/>
  <c r="L39" i="35"/>
  <c r="P12" i="35"/>
  <c r="R17" i="35"/>
  <c r="Q45" i="35"/>
  <c r="Q3" i="35"/>
  <c r="P28" i="35"/>
  <c r="R5" i="35"/>
  <c r="N35" i="35"/>
  <c r="L47" i="35"/>
  <c r="P46" i="35"/>
  <c r="R35" i="35"/>
  <c r="R47" i="35"/>
  <c r="N47" i="35"/>
  <c r="L5" i="35"/>
  <c r="Q14" i="35"/>
  <c r="P25" i="35"/>
  <c r="Q30" i="35"/>
  <c r="P27" i="35"/>
  <c r="P4" i="35"/>
  <c r="P15" i="35"/>
  <c r="Q4" i="35"/>
  <c r="Q12" i="35"/>
  <c r="Q17" i="35" s="1"/>
  <c r="L35" i="35"/>
  <c r="Q20" i="35"/>
  <c r="Q35" i="35" s="1"/>
  <c r="P22" i="35"/>
  <c r="P32" i="35"/>
  <c r="P43" i="35"/>
  <c r="P8" i="35"/>
  <c r="P29" i="35"/>
  <c r="Q8" i="35"/>
  <c r="Q9" i="35" s="1"/>
  <c r="P38" i="35"/>
  <c r="P26" i="35"/>
  <c r="Q43" i="34"/>
  <c r="R5" i="34"/>
  <c r="Q18" i="34"/>
  <c r="P23" i="34"/>
  <c r="Q11" i="34"/>
  <c r="Q38" i="34"/>
  <c r="L72" i="34"/>
  <c r="Q64" i="34"/>
  <c r="P57" i="34"/>
  <c r="P56" i="34"/>
  <c r="P71" i="34"/>
  <c r="Q9" i="34"/>
  <c r="Q2" i="34"/>
  <c r="Q5" i="34" s="1"/>
  <c r="Q48" i="34"/>
  <c r="Q14" i="34"/>
  <c r="N5" i="34"/>
  <c r="L50" i="34"/>
  <c r="P28" i="34"/>
  <c r="N50" i="34"/>
  <c r="L58" i="34"/>
  <c r="Q55" i="34"/>
  <c r="L68" i="34"/>
  <c r="R15" i="34"/>
  <c r="Q33" i="34"/>
  <c r="R58" i="34"/>
  <c r="N68" i="34"/>
  <c r="N80" i="34"/>
  <c r="P76" i="34"/>
  <c r="R50" i="34"/>
  <c r="N15" i="34"/>
  <c r="N58" i="34"/>
  <c r="L80" i="34"/>
  <c r="R68" i="34"/>
  <c r="P75" i="34"/>
  <c r="Q15" i="34"/>
  <c r="P35" i="34"/>
  <c r="P77" i="34"/>
  <c r="P54" i="34"/>
  <c r="P22" i="34"/>
  <c r="P10" i="34"/>
  <c r="Q32" i="34"/>
  <c r="Q42" i="34"/>
  <c r="P19" i="34"/>
  <c r="P29" i="34"/>
  <c r="P39" i="34"/>
  <c r="P49" i="34"/>
  <c r="Q19" i="34"/>
  <c r="P26" i="34"/>
  <c r="P36" i="34"/>
  <c r="P46" i="34"/>
  <c r="P67" i="34"/>
  <c r="P78" i="34"/>
  <c r="Q54" i="34"/>
  <c r="L15" i="34"/>
  <c r="P20" i="34"/>
  <c r="P30" i="34"/>
  <c r="P40" i="34"/>
  <c r="P61" i="34"/>
  <c r="P45" i="34"/>
  <c r="P8" i="34"/>
  <c r="Q61" i="34"/>
  <c r="P27" i="34"/>
  <c r="P37" i="34"/>
  <c r="P47" i="34"/>
  <c r="P79" i="34"/>
  <c r="L5" i="34"/>
  <c r="P3" i="34"/>
  <c r="P24" i="34"/>
  <c r="P34" i="34"/>
  <c r="P44" i="34"/>
  <c r="P65" i="34"/>
  <c r="P4" i="34"/>
  <c r="P13" i="34"/>
  <c r="Q25" i="34"/>
  <c r="Q66" i="34"/>
  <c r="Q63" i="34"/>
  <c r="P12" i="34"/>
  <c r="P53" i="34"/>
  <c r="P21" i="34"/>
  <c r="P31" i="34"/>
  <c r="P41" i="34"/>
  <c r="P62" i="34"/>
  <c r="N4" i="33"/>
  <c r="R4" i="33"/>
  <c r="L51" i="33"/>
  <c r="N33" i="33"/>
  <c r="P24" i="33"/>
  <c r="R33" i="33"/>
  <c r="P16" i="33"/>
  <c r="P20" i="33"/>
  <c r="L33" i="33"/>
  <c r="P32" i="33"/>
  <c r="N40" i="33"/>
  <c r="Q50" i="33"/>
  <c r="N26" i="33"/>
  <c r="P43" i="33"/>
  <c r="P2" i="33"/>
  <c r="P14" i="33"/>
  <c r="L4" i="33"/>
  <c r="P10" i="33"/>
  <c r="N51" i="33"/>
  <c r="Q37" i="33"/>
  <c r="Q19" i="33"/>
  <c r="R51" i="33"/>
  <c r="R40" i="33"/>
  <c r="R26" i="33"/>
  <c r="Q9" i="33"/>
  <c r="Q8" i="33"/>
  <c r="P15" i="33"/>
  <c r="P49" i="33"/>
  <c r="P3" i="33"/>
  <c r="Q25" i="33"/>
  <c r="Q36" i="33"/>
  <c r="L40" i="33"/>
  <c r="Q49" i="33"/>
  <c r="Q51" i="33" s="1"/>
  <c r="Q3" i="33"/>
  <c r="Q4" i="33" s="1"/>
  <c r="P12" i="33"/>
  <c r="P22" i="33"/>
  <c r="L26" i="33"/>
  <c r="P31" i="33"/>
  <c r="Q11" i="33"/>
  <c r="P30" i="33"/>
  <c r="P13" i="33"/>
  <c r="P23" i="33"/>
  <c r="Q21" i="33"/>
  <c r="P18" i="33"/>
  <c r="P39" i="33"/>
  <c r="P29" i="33"/>
  <c r="Q43" i="33"/>
  <c r="Q44" i="33" s="1"/>
  <c r="P7" i="33"/>
  <c r="P17" i="33"/>
  <c r="Q29" i="33"/>
  <c r="Q33" i="33" s="1"/>
  <c r="P38" i="33"/>
  <c r="L77" i="32"/>
  <c r="N47" i="32"/>
  <c r="R47" i="32"/>
  <c r="N86" i="32"/>
  <c r="R86" i="32"/>
  <c r="P18" i="32"/>
  <c r="N40" i="32"/>
  <c r="Q84" i="32"/>
  <c r="Q86" i="32" s="1"/>
  <c r="Q9" i="32"/>
  <c r="Q39" i="32"/>
  <c r="Q17" i="32"/>
  <c r="R40" i="32"/>
  <c r="Q60" i="32"/>
  <c r="R12" i="32"/>
  <c r="Q61" i="32"/>
  <c r="R35" i="32"/>
  <c r="N53" i="32"/>
  <c r="Q47" i="32"/>
  <c r="P83" i="32"/>
  <c r="P5" i="32"/>
  <c r="Q52" i="32"/>
  <c r="L53" i="32"/>
  <c r="R53" i="32"/>
  <c r="P30" i="32"/>
  <c r="N35" i="32"/>
  <c r="Q71" i="32"/>
  <c r="Q8" i="32"/>
  <c r="P6" i="32"/>
  <c r="N12" i="32"/>
  <c r="P27" i="32"/>
  <c r="N73" i="32"/>
  <c r="Q28" i="32"/>
  <c r="Q51" i="32"/>
  <c r="R73" i="32"/>
  <c r="P70" i="32"/>
  <c r="P68" i="32"/>
  <c r="P65" i="32"/>
  <c r="L12" i="32"/>
  <c r="P24" i="32"/>
  <c r="P34" i="32"/>
  <c r="L40" i="32"/>
  <c r="P46" i="32"/>
  <c r="P57" i="32"/>
  <c r="P67" i="32"/>
  <c r="P2" i="32"/>
  <c r="P76" i="32"/>
  <c r="P21" i="32"/>
  <c r="P31" i="32"/>
  <c r="P64" i="32"/>
  <c r="L35" i="32"/>
  <c r="L47" i="32"/>
  <c r="P58" i="32"/>
  <c r="Q3" i="32"/>
  <c r="P22" i="32"/>
  <c r="P44" i="32"/>
  <c r="Q10" i="32"/>
  <c r="P19" i="32"/>
  <c r="P72" i="32"/>
  <c r="P7" i="32"/>
  <c r="P50" i="32"/>
  <c r="Q62" i="32"/>
  <c r="Q26" i="32"/>
  <c r="L86" i="32"/>
  <c r="Q4" i="32"/>
  <c r="P23" i="32"/>
  <c r="P33" i="32"/>
  <c r="P45" i="32"/>
  <c r="P56" i="32"/>
  <c r="P66" i="32"/>
  <c r="P25" i="32"/>
  <c r="Q15" i="32"/>
  <c r="P32" i="32"/>
  <c r="Q29" i="32"/>
  <c r="Q38" i="32"/>
  <c r="Q40" i="32" s="1"/>
  <c r="P59" i="32"/>
  <c r="L73" i="32"/>
  <c r="P11" i="32"/>
  <c r="P69" i="32"/>
  <c r="P20" i="32"/>
  <c r="P63" i="32"/>
  <c r="P85" i="32"/>
  <c r="P16" i="32"/>
  <c r="P82" i="32"/>
  <c r="N4" i="25"/>
  <c r="R4" i="25"/>
  <c r="Q47" i="25"/>
  <c r="P35" i="25"/>
  <c r="P17" i="25"/>
  <c r="P2" i="25"/>
  <c r="Q9" i="25"/>
  <c r="P14" i="25"/>
  <c r="P56" i="25"/>
  <c r="L4" i="25"/>
  <c r="P28" i="25"/>
  <c r="R37" i="25"/>
  <c r="N59" i="25"/>
  <c r="Q19" i="25"/>
  <c r="L37" i="25"/>
  <c r="P44" i="25"/>
  <c r="N21" i="25"/>
  <c r="N37" i="25"/>
  <c r="N49" i="25"/>
  <c r="R49" i="25"/>
  <c r="P7" i="25"/>
  <c r="P16" i="25"/>
  <c r="R21" i="25"/>
  <c r="P58" i="25"/>
  <c r="Q30" i="25"/>
  <c r="R59" i="25"/>
  <c r="L21" i="25"/>
  <c r="P32" i="25"/>
  <c r="Q53" i="25"/>
  <c r="Q59" i="25" s="1"/>
  <c r="P29" i="25"/>
  <c r="Q8" i="25"/>
  <c r="Q18" i="25"/>
  <c r="Q29" i="25"/>
  <c r="P48" i="25"/>
  <c r="P15" i="25"/>
  <c r="P36" i="25"/>
  <c r="P57" i="25"/>
  <c r="P3" i="25"/>
  <c r="P24" i="25"/>
  <c r="P45" i="25"/>
  <c r="Q3" i="25"/>
  <c r="Q4" i="25" s="1"/>
  <c r="P12" i="25"/>
  <c r="Q24" i="25"/>
  <c r="Q25" i="25" s="1"/>
  <c r="P33" i="25"/>
  <c r="L49" i="25"/>
  <c r="P54" i="25"/>
  <c r="P42" i="25"/>
  <c r="P11" i="25"/>
  <c r="P13" i="25"/>
  <c r="P55" i="25"/>
  <c r="P43" i="25"/>
  <c r="P10" i="25"/>
  <c r="P20" i="25"/>
  <c r="P31" i="25"/>
  <c r="P52" i="25"/>
  <c r="Q41" i="25"/>
  <c r="L59" i="25"/>
  <c r="P40" i="25"/>
  <c r="P46" i="25"/>
  <c r="Q34" i="25"/>
  <c r="P8" i="25"/>
  <c r="N60" i="24"/>
  <c r="R60" i="24"/>
  <c r="Q9" i="24"/>
  <c r="N77" i="24"/>
  <c r="P52" i="24"/>
  <c r="Q25" i="24"/>
  <c r="L36" i="24"/>
  <c r="R28" i="24"/>
  <c r="Q16" i="24"/>
  <c r="L42" i="24"/>
  <c r="N42" i="24"/>
  <c r="R77" i="24"/>
  <c r="N28" i="24"/>
  <c r="L60" i="24"/>
  <c r="P6" i="24"/>
  <c r="P10" i="24"/>
  <c r="R54" i="24"/>
  <c r="N68" i="24"/>
  <c r="L28" i="24"/>
  <c r="P41" i="24"/>
  <c r="R19" i="24"/>
  <c r="P63" i="24"/>
  <c r="R42" i="24"/>
  <c r="N19" i="24"/>
  <c r="R68" i="24"/>
  <c r="Q50" i="24"/>
  <c r="P50" i="24"/>
  <c r="L68" i="24"/>
  <c r="Q64" i="24"/>
  <c r="Q68" i="24" s="1"/>
  <c r="Q26" i="24"/>
  <c r="P26" i="24"/>
  <c r="Q7" i="24"/>
  <c r="P7" i="24"/>
  <c r="P64" i="24"/>
  <c r="P22" i="24"/>
  <c r="Q22" i="24"/>
  <c r="P58" i="24"/>
  <c r="Q58" i="24"/>
  <c r="Q60" i="24" s="1"/>
  <c r="L77" i="24"/>
  <c r="Q75" i="24"/>
  <c r="Q77" i="24" s="1"/>
  <c r="Q39" i="24"/>
  <c r="Q42" i="24" s="1"/>
  <c r="P39" i="24"/>
  <c r="P75" i="24"/>
  <c r="P13" i="24"/>
  <c r="P31" i="24"/>
  <c r="P53" i="24"/>
  <c r="P67" i="24"/>
  <c r="Q17" i="24"/>
  <c r="P17" i="24"/>
  <c r="L54" i="24"/>
  <c r="N54" i="24"/>
  <c r="L19" i="24"/>
  <c r="Q31" i="24"/>
  <c r="Q32" i="24" s="1"/>
  <c r="Q49" i="24"/>
  <c r="P59" i="24"/>
  <c r="P14" i="24"/>
  <c r="P2" i="24"/>
  <c r="P23" i="24"/>
  <c r="P45" i="24"/>
  <c r="Q2" i="24"/>
  <c r="Q3" i="24" s="1"/>
  <c r="P11" i="24"/>
  <c r="Q45" i="24"/>
  <c r="Q46" i="24" s="1"/>
  <c r="P65" i="24"/>
  <c r="P76" i="24"/>
  <c r="P8" i="24"/>
  <c r="P18" i="24"/>
  <c r="P40" i="24"/>
  <c r="P51" i="24"/>
  <c r="P27" i="24"/>
  <c r="P71" i="24"/>
  <c r="P15" i="24"/>
  <c r="Q71" i="24"/>
  <c r="Q72" i="24" s="1"/>
  <c r="P24" i="24"/>
  <c r="P35" i="24"/>
  <c r="P57" i="24"/>
  <c r="P12" i="24"/>
  <c r="P66" i="24"/>
  <c r="Q18" i="23"/>
  <c r="P17" i="23"/>
  <c r="R27" i="23"/>
  <c r="P67" i="23"/>
  <c r="P58" i="23"/>
  <c r="P96" i="23"/>
  <c r="Q46" i="23"/>
  <c r="P66" i="23"/>
  <c r="Q90" i="23"/>
  <c r="P74" i="23"/>
  <c r="Q70" i="23"/>
  <c r="L10" i="23"/>
  <c r="P88" i="23"/>
  <c r="Q106" i="23"/>
  <c r="P5" i="23"/>
  <c r="Q36" i="23"/>
  <c r="P48" i="23"/>
  <c r="Q77" i="23"/>
  <c r="Q80" i="23"/>
  <c r="P86" i="23"/>
  <c r="P98" i="23"/>
  <c r="Q9" i="23"/>
  <c r="P20" i="23"/>
  <c r="Q40" i="23"/>
  <c r="P57" i="23"/>
  <c r="Q69" i="23"/>
  <c r="N107" i="23"/>
  <c r="Q47" i="23"/>
  <c r="P44" i="23"/>
  <c r="P37" i="23"/>
  <c r="P78" i="23"/>
  <c r="P110" i="23"/>
  <c r="P38" i="23"/>
  <c r="Q100" i="23"/>
  <c r="R107" i="23"/>
  <c r="P56" i="23"/>
  <c r="Q97" i="23"/>
  <c r="Q19" i="23"/>
  <c r="Q39" i="23"/>
  <c r="Q101" i="23"/>
  <c r="N10" i="23"/>
  <c r="P6" i="23"/>
  <c r="L27" i="23"/>
  <c r="Q49" i="23"/>
  <c r="Q110" i="23"/>
  <c r="Q111" i="23" s="1"/>
  <c r="Q7" i="23"/>
  <c r="Q30" i="23"/>
  <c r="Q8" i="23"/>
  <c r="Q89" i="23"/>
  <c r="N27" i="23"/>
  <c r="P87" i="23"/>
  <c r="Q99" i="23"/>
  <c r="P3" i="23"/>
  <c r="Q50" i="23"/>
  <c r="Q79" i="23"/>
  <c r="P76" i="23"/>
  <c r="P35" i="23"/>
  <c r="Q59" i="23"/>
  <c r="P68" i="23"/>
  <c r="Q60" i="23"/>
  <c r="R10" i="23"/>
  <c r="P14" i="23"/>
  <c r="P24" i="23"/>
  <c r="P2" i="23"/>
  <c r="P33" i="23"/>
  <c r="P43" i="23"/>
  <c r="P53" i="23"/>
  <c r="P63" i="23"/>
  <c r="P73" i="23"/>
  <c r="P83" i="23"/>
  <c r="P93" i="23"/>
  <c r="P103" i="23"/>
  <c r="P21" i="23"/>
  <c r="L107" i="23"/>
  <c r="Q3" i="23"/>
  <c r="P22" i="23"/>
  <c r="Q34" i="23"/>
  <c r="Q54" i="23"/>
  <c r="Q64" i="23"/>
  <c r="Q84" i="23"/>
  <c r="Q94" i="23"/>
  <c r="Q104" i="23"/>
  <c r="P31" i="23"/>
  <c r="P41" i="23"/>
  <c r="P51" i="23"/>
  <c r="P61" i="23"/>
  <c r="P71" i="23"/>
  <c r="P81" i="23"/>
  <c r="P91" i="23"/>
  <c r="P4" i="23"/>
  <c r="Q16" i="23"/>
  <c r="Q26" i="23"/>
  <c r="P45" i="23"/>
  <c r="P55" i="23"/>
  <c r="P65" i="23"/>
  <c r="P75" i="23"/>
  <c r="P85" i="23"/>
  <c r="P95" i="23"/>
  <c r="P105" i="23"/>
  <c r="P15" i="23"/>
  <c r="Q25" i="23"/>
  <c r="P13" i="23"/>
  <c r="P23" i="23"/>
  <c r="Q13" i="23"/>
  <c r="P32" i="23"/>
  <c r="P42" i="23"/>
  <c r="P52" i="23"/>
  <c r="P62" i="23"/>
  <c r="P72" i="23"/>
  <c r="P82" i="23"/>
  <c r="P92" i="23"/>
  <c r="P102" i="23"/>
  <c r="R4" i="22"/>
  <c r="L4" i="22"/>
  <c r="P11" i="22"/>
  <c r="R14" i="22"/>
  <c r="L14" i="22"/>
  <c r="N14" i="22"/>
  <c r="Q12" i="22"/>
  <c r="Q14" i="22" s="1"/>
  <c r="Q7" i="22"/>
  <c r="Q8" i="22" s="1"/>
  <c r="P2" i="22"/>
  <c r="L8" i="22"/>
  <c r="P13" i="22"/>
  <c r="P12" i="22"/>
  <c r="P3" i="22"/>
  <c r="P15" i="21"/>
  <c r="L4" i="21"/>
  <c r="N4" i="21"/>
  <c r="P23" i="21"/>
  <c r="Q7" i="21"/>
  <c r="P24" i="21"/>
  <c r="R16" i="21"/>
  <c r="P2" i="21"/>
  <c r="N16" i="21"/>
  <c r="N25" i="21"/>
  <c r="Q14" i="21"/>
  <c r="P28" i="21"/>
  <c r="P3" i="21"/>
  <c r="Q3" i="21"/>
  <c r="Q4" i="21" s="1"/>
  <c r="P11" i="21"/>
  <c r="L16" i="21"/>
  <c r="R25" i="21"/>
  <c r="Q28" i="21"/>
  <c r="Q29" i="21" s="1"/>
  <c r="R4" i="21"/>
  <c r="Q21" i="21"/>
  <c r="Q25" i="21" s="1"/>
  <c r="P13" i="21"/>
  <c r="P22" i="21"/>
  <c r="P10" i="21"/>
  <c r="P19" i="21"/>
  <c r="L25" i="21"/>
  <c r="P12" i="21"/>
  <c r="Q9" i="21"/>
  <c r="P20" i="21"/>
  <c r="P9" i="21"/>
  <c r="P8" i="21"/>
  <c r="Q6" i="20"/>
  <c r="L7" i="20"/>
  <c r="N24" i="20"/>
  <c r="R24" i="20"/>
  <c r="N30" i="20"/>
  <c r="P46" i="20"/>
  <c r="N7" i="20"/>
  <c r="P3" i="20"/>
  <c r="N36" i="20"/>
  <c r="P35" i="20"/>
  <c r="P42" i="20"/>
  <c r="R7" i="20"/>
  <c r="P10" i="20"/>
  <c r="Q49" i="20"/>
  <c r="R16" i="20"/>
  <c r="P15" i="20"/>
  <c r="L36" i="20"/>
  <c r="Q22" i="20"/>
  <c r="R30" i="20"/>
  <c r="L30" i="20"/>
  <c r="N52" i="20"/>
  <c r="N43" i="20"/>
  <c r="L24" i="20"/>
  <c r="R43" i="20"/>
  <c r="L16" i="20"/>
  <c r="R52" i="20"/>
  <c r="N16" i="20"/>
  <c r="P19" i="20"/>
  <c r="P51" i="20"/>
  <c r="Q19" i="20"/>
  <c r="Q33" i="20"/>
  <c r="L52" i="20"/>
  <c r="R36" i="20"/>
  <c r="Q43" i="20"/>
  <c r="P12" i="20"/>
  <c r="Q12" i="20"/>
  <c r="P21" i="20"/>
  <c r="P41" i="20"/>
  <c r="P50" i="20"/>
  <c r="P27" i="20"/>
  <c r="P4" i="20"/>
  <c r="P47" i="20"/>
  <c r="P13" i="20"/>
  <c r="Q47" i="20"/>
  <c r="P39" i="20"/>
  <c r="L43" i="20"/>
  <c r="Q14" i="20"/>
  <c r="Q2" i="20"/>
  <c r="P11" i="20"/>
  <c r="Q23" i="20"/>
  <c r="Q34" i="20"/>
  <c r="P5" i="20"/>
  <c r="Q28" i="20"/>
  <c r="Q30" i="20" s="1"/>
  <c r="P48" i="20"/>
  <c r="P20" i="20"/>
  <c r="P29" i="20"/>
  <c r="P40" i="20"/>
  <c r="Q3" i="19"/>
  <c r="Q42" i="19"/>
  <c r="Q43" i="19" s="1"/>
  <c r="Q2" i="19"/>
  <c r="Q33" i="19"/>
  <c r="P8" i="19"/>
  <c r="N39" i="19"/>
  <c r="P9" i="19"/>
  <c r="Q23" i="19"/>
  <c r="P34" i="19"/>
  <c r="Q53" i="19"/>
  <c r="Q13" i="19"/>
  <c r="P42" i="19"/>
  <c r="N25" i="19"/>
  <c r="P54" i="19"/>
  <c r="Q24" i="19"/>
  <c r="N16" i="19"/>
  <c r="P10" i="19"/>
  <c r="L25" i="19"/>
  <c r="P32" i="19"/>
  <c r="Q12" i="19"/>
  <c r="N56" i="19"/>
  <c r="R16" i="19"/>
  <c r="L39" i="19"/>
  <c r="R39" i="19"/>
  <c r="R56" i="19"/>
  <c r="P55" i="19"/>
  <c r="L56" i="19"/>
  <c r="L16" i="19"/>
  <c r="P29" i="19"/>
  <c r="P50" i="19"/>
  <c r="P6" i="19"/>
  <c r="P36" i="19"/>
  <c r="P47" i="19"/>
  <c r="Q47" i="19"/>
  <c r="Q56" i="19" s="1"/>
  <c r="Q7" i="19"/>
  <c r="P37" i="19"/>
  <c r="P48" i="19"/>
  <c r="P4" i="19"/>
  <c r="P14" i="19"/>
  <c r="L20" i="19"/>
  <c r="P11" i="19"/>
  <c r="P31" i="19"/>
  <c r="P52" i="19"/>
  <c r="P28" i="19"/>
  <c r="P38" i="19"/>
  <c r="P49" i="19"/>
  <c r="P19" i="19"/>
  <c r="P51" i="19"/>
  <c r="P5" i="19"/>
  <c r="P15" i="19"/>
  <c r="Q28" i="19"/>
  <c r="Q39" i="19" s="1"/>
  <c r="P30" i="19"/>
  <c r="P35" i="19"/>
  <c r="P46" i="19"/>
  <c r="P61" i="18"/>
  <c r="N24" i="18"/>
  <c r="Q8" i="18"/>
  <c r="P29" i="18"/>
  <c r="Q30" i="18"/>
  <c r="L63" i="18"/>
  <c r="R24" i="18"/>
  <c r="P9" i="18"/>
  <c r="Q20" i="18"/>
  <c r="R50" i="18"/>
  <c r="P48" i="18"/>
  <c r="P60" i="18"/>
  <c r="P17" i="18"/>
  <c r="P32" i="18"/>
  <c r="Q21" i="18"/>
  <c r="P49" i="18"/>
  <c r="Q50" i="18"/>
  <c r="N40" i="18"/>
  <c r="N50" i="18"/>
  <c r="N12" i="18"/>
  <c r="R40" i="18"/>
  <c r="R12" i="18"/>
  <c r="P11" i="18"/>
  <c r="P18" i="18"/>
  <c r="N63" i="18"/>
  <c r="P39" i="18"/>
  <c r="P53" i="18"/>
  <c r="Q23" i="18"/>
  <c r="R63" i="18"/>
  <c r="P37" i="18"/>
  <c r="L24" i="18"/>
  <c r="L12" i="18"/>
  <c r="P5" i="18"/>
  <c r="P36" i="18"/>
  <c r="P57" i="18"/>
  <c r="L40" i="18"/>
  <c r="P45" i="18"/>
  <c r="P2" i="18"/>
  <c r="P33" i="18"/>
  <c r="P54" i="18"/>
  <c r="Q54" i="18"/>
  <c r="P58" i="18"/>
  <c r="Q6" i="18"/>
  <c r="Q12" i="18" s="1"/>
  <c r="Q27" i="18"/>
  <c r="P3" i="18"/>
  <c r="L50" i="18"/>
  <c r="P55" i="18"/>
  <c r="P22" i="18"/>
  <c r="Q34" i="18"/>
  <c r="P43" i="18"/>
  <c r="P10" i="18"/>
  <c r="P31" i="18"/>
  <c r="P62" i="18"/>
  <c r="P19" i="18"/>
  <c r="P7" i="18"/>
  <c r="P28" i="18"/>
  <c r="P38" i="18"/>
  <c r="P16" i="18"/>
  <c r="P47" i="18"/>
  <c r="Q59" i="18"/>
  <c r="P4" i="18"/>
  <c r="P35" i="18"/>
  <c r="P56" i="18"/>
  <c r="P44" i="18"/>
  <c r="P15" i="18"/>
  <c r="P46" i="18"/>
  <c r="Q43" i="17"/>
  <c r="R11" i="17"/>
  <c r="N5" i="17"/>
  <c r="R5" i="17"/>
  <c r="Q9" i="17"/>
  <c r="Q2" i="17"/>
  <c r="P42" i="17"/>
  <c r="P31" i="17"/>
  <c r="N18" i="17"/>
  <c r="L18" i="17"/>
  <c r="L45" i="17"/>
  <c r="Q30" i="17"/>
  <c r="L11" i="17"/>
  <c r="N34" i="17"/>
  <c r="P40" i="17"/>
  <c r="R45" i="17"/>
  <c r="N11" i="17"/>
  <c r="R34" i="17"/>
  <c r="P29" i="17"/>
  <c r="P44" i="17"/>
  <c r="Q33" i="17"/>
  <c r="N45" i="17"/>
  <c r="L5" i="17"/>
  <c r="R18" i="17"/>
  <c r="Q8" i="17"/>
  <c r="P17" i="17"/>
  <c r="Q27" i="17"/>
  <c r="P3" i="17"/>
  <c r="P14" i="17"/>
  <c r="P24" i="17"/>
  <c r="Q3" i="17"/>
  <c r="Q5" i="17" s="1"/>
  <c r="Q14" i="17"/>
  <c r="Q18" i="17" s="1"/>
  <c r="Q39" i="17"/>
  <c r="Q28" i="17"/>
  <c r="P37" i="17"/>
  <c r="P4" i="17"/>
  <c r="P15" i="17"/>
  <c r="P25" i="17"/>
  <c r="Q37" i="17"/>
  <c r="P32" i="17"/>
  <c r="P10" i="17"/>
  <c r="P21" i="17"/>
  <c r="P41" i="17"/>
  <c r="Q21" i="17"/>
  <c r="Q22" i="17" s="1"/>
  <c r="P8" i="17"/>
  <c r="P38" i="17"/>
  <c r="P16" i="17"/>
  <c r="P26" i="17"/>
  <c r="L34" i="17"/>
  <c r="L9" i="16"/>
  <c r="Q13" i="16"/>
  <c r="Q2" i="16"/>
  <c r="R9" i="16"/>
  <c r="Q14" i="16"/>
  <c r="P12" i="16"/>
  <c r="Q8" i="16"/>
  <c r="Q9" i="16" s="1"/>
  <c r="P5" i="16"/>
  <c r="P6" i="16"/>
  <c r="P15" i="16"/>
  <c r="P3" i="16"/>
  <c r="Q12" i="16"/>
  <c r="Q16" i="16" s="1"/>
  <c r="P7" i="16"/>
  <c r="R12" i="15"/>
  <c r="P33" i="15"/>
  <c r="P41" i="15"/>
  <c r="Q94" i="15"/>
  <c r="Q90" i="15"/>
  <c r="Q45" i="15"/>
  <c r="P85" i="15"/>
  <c r="L97" i="15"/>
  <c r="R90" i="15"/>
  <c r="Q42" i="15"/>
  <c r="N35" i="15"/>
  <c r="P63" i="15"/>
  <c r="N90" i="15"/>
  <c r="N103" i="15"/>
  <c r="P22" i="15"/>
  <c r="P75" i="15"/>
  <c r="P54" i="15"/>
  <c r="N19" i="15"/>
  <c r="P25" i="15"/>
  <c r="P11" i="15"/>
  <c r="Q53" i="15"/>
  <c r="P93" i="15"/>
  <c r="Q23" i="15"/>
  <c r="N72" i="15"/>
  <c r="N6" i="15"/>
  <c r="N12" i="15"/>
  <c r="R35" i="15"/>
  <c r="P44" i="15"/>
  <c r="R72" i="15"/>
  <c r="R81" i="15"/>
  <c r="R47" i="15"/>
  <c r="L12" i="15"/>
  <c r="P2" i="15"/>
  <c r="P84" i="15"/>
  <c r="P95" i="15"/>
  <c r="P102" i="15"/>
  <c r="P96" i="15"/>
  <c r="L35" i="15"/>
  <c r="L81" i="15"/>
  <c r="Q3" i="15"/>
  <c r="N97" i="15"/>
  <c r="R19" i="15"/>
  <c r="N47" i="15"/>
  <c r="P64" i="15"/>
  <c r="Q76" i="15"/>
  <c r="R6" i="15"/>
  <c r="N81" i="15"/>
  <c r="P51" i="15"/>
  <c r="Q9" i="15"/>
  <c r="P27" i="15"/>
  <c r="Q39" i="15"/>
  <c r="P89" i="15"/>
  <c r="P46" i="15"/>
  <c r="Q58" i="15"/>
  <c r="L72" i="15"/>
  <c r="P77" i="15"/>
  <c r="Q4" i="15"/>
  <c r="Q15" i="15"/>
  <c r="Q19" i="15" s="1"/>
  <c r="L19" i="15"/>
  <c r="P24" i="15"/>
  <c r="P34" i="15"/>
  <c r="P55" i="15"/>
  <c r="P65" i="15"/>
  <c r="Q24" i="15"/>
  <c r="P43" i="15"/>
  <c r="P31" i="15"/>
  <c r="L47" i="15"/>
  <c r="P52" i="15"/>
  <c r="P62" i="15"/>
  <c r="P101" i="15"/>
  <c r="Q10" i="15"/>
  <c r="P40" i="15"/>
  <c r="P28" i="15"/>
  <c r="P59" i="15"/>
  <c r="P69" i="15"/>
  <c r="P5" i="15"/>
  <c r="P16" i="15"/>
  <c r="P78" i="15"/>
  <c r="Q100" i="15"/>
  <c r="Q77" i="15"/>
  <c r="P56" i="15"/>
  <c r="P66" i="15"/>
  <c r="P87" i="15"/>
  <c r="Q80" i="15"/>
  <c r="L6" i="15"/>
  <c r="P32" i="15"/>
  <c r="P86" i="15"/>
  <c r="P61" i="15"/>
  <c r="P18" i="15"/>
  <c r="P68" i="15"/>
  <c r="L90" i="15"/>
  <c r="P29" i="15"/>
  <c r="P50" i="15"/>
  <c r="P60" i="15"/>
  <c r="P70" i="15"/>
  <c r="Q93" i="15"/>
  <c r="P17" i="15"/>
  <c r="P38" i="15"/>
  <c r="P79" i="15"/>
  <c r="L103" i="15"/>
  <c r="P9" i="15"/>
  <c r="Q30" i="15"/>
  <c r="P26" i="15"/>
  <c r="P57" i="15"/>
  <c r="P67" i="15"/>
  <c r="P88" i="15"/>
  <c r="P71" i="15"/>
  <c r="N66" i="14"/>
  <c r="R66" i="14"/>
  <c r="Q4" i="14"/>
  <c r="N4" i="14"/>
  <c r="R4" i="14"/>
  <c r="R13" i="14"/>
  <c r="P31" i="14"/>
  <c r="P51" i="14"/>
  <c r="P63" i="14"/>
  <c r="L24" i="14"/>
  <c r="N59" i="14"/>
  <c r="N24" i="14"/>
  <c r="R59" i="14"/>
  <c r="R24" i="14"/>
  <c r="P10" i="14"/>
  <c r="P22" i="14"/>
  <c r="Q34" i="14"/>
  <c r="N13" i="14"/>
  <c r="Q54" i="14"/>
  <c r="P41" i="14"/>
  <c r="Q44" i="14"/>
  <c r="P48" i="14"/>
  <c r="P23" i="14"/>
  <c r="Q55" i="14"/>
  <c r="P8" i="14"/>
  <c r="Q20" i="14"/>
  <c r="P29" i="14"/>
  <c r="P39" i="14"/>
  <c r="P49" i="14"/>
  <c r="P3" i="14"/>
  <c r="Q65" i="14"/>
  <c r="Q12" i="14"/>
  <c r="P21" i="14"/>
  <c r="Q33" i="14"/>
  <c r="Q43" i="14"/>
  <c r="L4" i="14"/>
  <c r="P9" i="14"/>
  <c r="P40" i="14"/>
  <c r="P50" i="14"/>
  <c r="L66" i="14"/>
  <c r="L13" i="14"/>
  <c r="P18" i="14"/>
  <c r="Q30" i="14"/>
  <c r="P58" i="14"/>
  <c r="P16" i="14"/>
  <c r="Q28" i="14"/>
  <c r="P2" i="14"/>
  <c r="Q35" i="14"/>
  <c r="Q45" i="14"/>
  <c r="P64" i="14"/>
  <c r="P32" i="14"/>
  <c r="P42" i="14"/>
  <c r="P52" i="14"/>
  <c r="Q11" i="14"/>
  <c r="Q13" i="14" s="1"/>
  <c r="Q17" i="14"/>
  <c r="P46" i="14"/>
  <c r="Q53" i="14"/>
  <c r="Q62" i="14"/>
  <c r="Q66" i="14" s="1"/>
  <c r="P27" i="14"/>
  <c r="P37" i="14"/>
  <c r="P47" i="14"/>
  <c r="P57" i="14"/>
  <c r="P7" i="14"/>
  <c r="Q19" i="14"/>
  <c r="P38" i="14"/>
  <c r="Q16" i="14"/>
  <c r="L59" i="14"/>
  <c r="P36" i="14"/>
  <c r="P56" i="14"/>
  <c r="Q20" i="13"/>
  <c r="Q18" i="13"/>
  <c r="P11" i="13"/>
  <c r="Q32" i="13"/>
  <c r="P37" i="13"/>
  <c r="P21" i="13"/>
  <c r="N39" i="13"/>
  <c r="L3" i="13"/>
  <c r="R39" i="13"/>
  <c r="P8" i="13"/>
  <c r="P49" i="13"/>
  <c r="R26" i="13"/>
  <c r="L26" i="13"/>
  <c r="Q30" i="13"/>
  <c r="P10" i="13"/>
  <c r="N52" i="13"/>
  <c r="N26" i="13"/>
  <c r="P42" i="13"/>
  <c r="P51" i="13"/>
  <c r="R52" i="13"/>
  <c r="Q15" i="13"/>
  <c r="P12" i="13"/>
  <c r="P22" i="13"/>
  <c r="P9" i="13"/>
  <c r="P50" i="13"/>
  <c r="Q9" i="13"/>
  <c r="Q19" i="13"/>
  <c r="P6" i="13"/>
  <c r="P16" i="13"/>
  <c r="Q38" i="13"/>
  <c r="P47" i="13"/>
  <c r="P35" i="13"/>
  <c r="P13" i="13"/>
  <c r="P23" i="13"/>
  <c r="L39" i="13"/>
  <c r="P44" i="13"/>
  <c r="P31" i="13"/>
  <c r="P29" i="13"/>
  <c r="P17" i="13"/>
  <c r="P48" i="13"/>
  <c r="Q25" i="13"/>
  <c r="P36" i="13"/>
  <c r="L52" i="13"/>
  <c r="Q34" i="13"/>
  <c r="Q43" i="13"/>
  <c r="Q52" i="13" s="1"/>
  <c r="P7" i="13"/>
  <c r="P14" i="13"/>
  <c r="P24" i="13"/>
  <c r="P45" i="13"/>
  <c r="P46" i="13"/>
  <c r="P2" i="13"/>
  <c r="P33" i="13"/>
  <c r="Q15" i="12"/>
  <c r="P3" i="12"/>
  <c r="R7" i="12"/>
  <c r="L41" i="12"/>
  <c r="Q13" i="12"/>
  <c r="N32" i="12"/>
  <c r="P23" i="12"/>
  <c r="P12" i="12"/>
  <c r="N7" i="12"/>
  <c r="P30" i="12"/>
  <c r="P22" i="12"/>
  <c r="R32" i="12"/>
  <c r="Q4" i="12"/>
  <c r="Q7" i="12" s="1"/>
  <c r="Q25" i="12"/>
  <c r="N41" i="12"/>
  <c r="R41" i="12"/>
  <c r="L7" i="12"/>
  <c r="P19" i="12"/>
  <c r="P29" i="12"/>
  <c r="P38" i="12"/>
  <c r="P16" i="12"/>
  <c r="P26" i="12"/>
  <c r="P35" i="12"/>
  <c r="P18" i="12"/>
  <c r="P28" i="12"/>
  <c r="Q40" i="12"/>
  <c r="Q41" i="12" s="1"/>
  <c r="P10" i="12"/>
  <c r="P20" i="12"/>
  <c r="P39" i="12"/>
  <c r="P17" i="12"/>
  <c r="P36" i="12"/>
  <c r="P14" i="12"/>
  <c r="P24" i="12"/>
  <c r="P2" i="12"/>
  <c r="P11" i="12"/>
  <c r="P31" i="12"/>
  <c r="Q21" i="12"/>
  <c r="P6" i="12"/>
  <c r="L32" i="12"/>
  <c r="P37" i="12"/>
  <c r="P27" i="12"/>
  <c r="P5" i="12"/>
  <c r="Q46" i="11"/>
  <c r="P10" i="11"/>
  <c r="Q47" i="11"/>
  <c r="Q22" i="11"/>
  <c r="P28" i="11"/>
  <c r="P54" i="11"/>
  <c r="L70" i="11"/>
  <c r="P42" i="11"/>
  <c r="P51" i="11"/>
  <c r="Q32" i="11"/>
  <c r="L37" i="11"/>
  <c r="P69" i="11"/>
  <c r="P6" i="11"/>
  <c r="P20" i="11"/>
  <c r="Q78" i="11"/>
  <c r="Q12" i="11"/>
  <c r="N7" i="11"/>
  <c r="P41" i="11"/>
  <c r="P9" i="11"/>
  <c r="P30" i="11"/>
  <c r="N70" i="11"/>
  <c r="Q9" i="11"/>
  <c r="Q13" i="11"/>
  <c r="P60" i="11"/>
  <c r="P18" i="11"/>
  <c r="Q64" i="11"/>
  <c r="Q29" i="11"/>
  <c r="Q56" i="11"/>
  <c r="Q52" i="11"/>
  <c r="N37" i="11"/>
  <c r="P75" i="11"/>
  <c r="R82" i="11"/>
  <c r="P4" i="11"/>
  <c r="Q50" i="11"/>
  <c r="P2" i="11"/>
  <c r="P44" i="11"/>
  <c r="L7" i="11"/>
  <c r="P19" i="11"/>
  <c r="P61" i="11"/>
  <c r="L82" i="11"/>
  <c r="R37" i="11"/>
  <c r="Q23" i="11"/>
  <c r="N82" i="11"/>
  <c r="P77" i="11"/>
  <c r="Q81" i="11"/>
  <c r="Q40" i="11"/>
  <c r="Q33" i="11"/>
  <c r="R7" i="11"/>
  <c r="Q63" i="11"/>
  <c r="N57" i="11"/>
  <c r="Q73" i="11"/>
  <c r="P48" i="11"/>
  <c r="P79" i="11"/>
  <c r="P26" i="11"/>
  <c r="P5" i="11"/>
  <c r="Q16" i="11"/>
  <c r="Q36" i="11"/>
  <c r="P45" i="11"/>
  <c r="P55" i="11"/>
  <c r="Q67" i="11"/>
  <c r="P76" i="11"/>
  <c r="P49" i="11"/>
  <c r="P80" i="11"/>
  <c r="P3" i="11"/>
  <c r="Q24" i="11"/>
  <c r="Q34" i="11"/>
  <c r="P43" i="11"/>
  <c r="P53" i="11"/>
  <c r="Q65" i="11"/>
  <c r="P74" i="11"/>
  <c r="P17" i="11"/>
  <c r="Q27" i="11"/>
  <c r="P14" i="11"/>
  <c r="Q3" i="11"/>
  <c r="Q7" i="11" s="1"/>
  <c r="P11" i="11"/>
  <c r="P21" i="11"/>
  <c r="P31" i="11"/>
  <c r="L57" i="11"/>
  <c r="P62" i="11"/>
  <c r="Q62" i="11"/>
  <c r="P15" i="11"/>
  <c r="P25" i="11"/>
  <c r="P35" i="11"/>
  <c r="P66" i="11"/>
  <c r="P68" i="11"/>
  <c r="R43" i="10"/>
  <c r="Q38" i="10"/>
  <c r="L7" i="10"/>
  <c r="N7" i="10"/>
  <c r="N38" i="10"/>
  <c r="P36" i="10"/>
  <c r="N76" i="10"/>
  <c r="R76" i="10"/>
  <c r="L38" i="10"/>
  <c r="L48" i="10"/>
  <c r="Q69" i="10"/>
  <c r="L81" i="10"/>
  <c r="P47" i="10"/>
  <c r="Q18" i="10"/>
  <c r="Q67" i="10"/>
  <c r="R7" i="10"/>
  <c r="P15" i="10"/>
  <c r="P27" i="10"/>
  <c r="Q4" i="10"/>
  <c r="Q81" i="10"/>
  <c r="Q90" i="10"/>
  <c r="N92" i="10"/>
  <c r="R38" i="10"/>
  <c r="P6" i="10"/>
  <c r="Q13" i="10"/>
  <c r="N81" i="10"/>
  <c r="P91" i="10"/>
  <c r="P74" i="10"/>
  <c r="L92" i="10"/>
  <c r="N32" i="10"/>
  <c r="Q48" i="10"/>
  <c r="R81" i="10"/>
  <c r="Q25" i="10"/>
  <c r="Q32" i="10" s="1"/>
  <c r="P80" i="10"/>
  <c r="P87" i="10"/>
  <c r="N20" i="10"/>
  <c r="R20" i="10"/>
  <c r="N70" i="10"/>
  <c r="R70" i="10"/>
  <c r="L43" i="10"/>
  <c r="R48" i="10"/>
  <c r="R32" i="10"/>
  <c r="N48" i="10"/>
  <c r="P60" i="10"/>
  <c r="Q76" i="10"/>
  <c r="P3" i="10"/>
  <c r="P24" i="10"/>
  <c r="P89" i="10"/>
  <c r="Q3" i="10"/>
  <c r="P12" i="10"/>
  <c r="P56" i="10"/>
  <c r="P66" i="10"/>
  <c r="P31" i="10"/>
  <c r="P42" i="10"/>
  <c r="Q56" i="10"/>
  <c r="Q57" i="10" s="1"/>
  <c r="L70" i="10"/>
  <c r="P75" i="10"/>
  <c r="P86" i="10"/>
  <c r="P19" i="10"/>
  <c r="Q42" i="10"/>
  <c r="Q43" i="10" s="1"/>
  <c r="P63" i="10"/>
  <c r="P28" i="10"/>
  <c r="P16" i="10"/>
  <c r="L32" i="10"/>
  <c r="P37" i="10"/>
  <c r="L76" i="10"/>
  <c r="L20" i="10"/>
  <c r="Q10" i="10"/>
  <c r="P29" i="10"/>
  <c r="P52" i="10"/>
  <c r="Q64" i="10"/>
  <c r="P73" i="10"/>
  <c r="P84" i="10"/>
  <c r="Q52" i="10"/>
  <c r="Q53" i="10" s="1"/>
  <c r="Q84" i="10"/>
  <c r="P5" i="10"/>
  <c r="Q17" i="10"/>
  <c r="P26" i="10"/>
  <c r="P14" i="10"/>
  <c r="P35" i="10"/>
  <c r="P46" i="10"/>
  <c r="Q60" i="10"/>
  <c r="Q61" i="10" s="1"/>
  <c r="P68" i="10"/>
  <c r="P79" i="10"/>
  <c r="P2" i="10"/>
  <c r="P23" i="10"/>
  <c r="P88" i="10"/>
  <c r="P11" i="10"/>
  <c r="P65" i="10"/>
  <c r="P30" i="10"/>
  <c r="P41" i="10"/>
  <c r="P85" i="10"/>
  <c r="L43" i="9"/>
  <c r="Q42" i="9"/>
  <c r="Q43" i="9" s="1"/>
  <c r="R15" i="9"/>
  <c r="Q20" i="9"/>
  <c r="P47" i="9"/>
  <c r="Q10" i="9"/>
  <c r="Q34" i="9"/>
  <c r="R21" i="9"/>
  <c r="P14" i="9"/>
  <c r="L29" i="9"/>
  <c r="R48" i="9"/>
  <c r="L21" i="9"/>
  <c r="Q46" i="9"/>
  <c r="Q48" i="9" s="1"/>
  <c r="L48" i="9"/>
  <c r="L35" i="9"/>
  <c r="N48" i="9"/>
  <c r="N21" i="9"/>
  <c r="R29" i="9"/>
  <c r="P19" i="9"/>
  <c r="R6" i="9"/>
  <c r="Q33" i="9"/>
  <c r="Q26" i="9"/>
  <c r="Q13" i="9"/>
  <c r="L6" i="9"/>
  <c r="N29" i="9"/>
  <c r="R35" i="9"/>
  <c r="P24" i="9"/>
  <c r="P32" i="9"/>
  <c r="Q12" i="9"/>
  <c r="L15" i="9"/>
  <c r="Q32" i="9"/>
  <c r="N15" i="9"/>
  <c r="N35" i="9"/>
  <c r="L39" i="9"/>
  <c r="Q4" i="9"/>
  <c r="Q38" i="9"/>
  <c r="Q39" i="9" s="1"/>
  <c r="Q27" i="9"/>
  <c r="Q18" i="9"/>
  <c r="Q3" i="9"/>
  <c r="P3" i="9"/>
  <c r="Q5" i="9"/>
  <c r="Q28" i="9"/>
  <c r="N4" i="8"/>
  <c r="L66" i="8"/>
  <c r="L23" i="8"/>
  <c r="Q29" i="8"/>
  <c r="N29" i="8"/>
  <c r="R29" i="8"/>
  <c r="Q4" i="8"/>
  <c r="P8" i="8"/>
  <c r="R12" i="8"/>
  <c r="R18" i="8"/>
  <c r="Q62" i="8"/>
  <c r="R66" i="8"/>
  <c r="R4" i="8"/>
  <c r="Q55" i="8"/>
  <c r="L4" i="8"/>
  <c r="P51" i="8"/>
  <c r="N12" i="8"/>
  <c r="N23" i="8"/>
  <c r="Q7" i="8"/>
  <c r="Q12" i="8" s="1"/>
  <c r="Q22" i="8"/>
  <c r="Q16" i="8"/>
  <c r="Q18" i="8" s="1"/>
  <c r="Q33" i="8"/>
  <c r="R40" i="8"/>
  <c r="P63" i="8"/>
  <c r="P52" i="8"/>
  <c r="P17" i="8"/>
  <c r="Q34" i="8"/>
  <c r="L59" i="8"/>
  <c r="N59" i="8"/>
  <c r="P64" i="8"/>
  <c r="R59" i="8"/>
  <c r="N40" i="8"/>
  <c r="L12" i="8"/>
  <c r="P43" i="8"/>
  <c r="Q21" i="8"/>
  <c r="Q43" i="8"/>
  <c r="Q44" i="8" s="1"/>
  <c r="Q54" i="8"/>
  <c r="R23" i="8"/>
  <c r="Q65" i="8"/>
  <c r="Q66" i="8" s="1"/>
  <c r="N18" i="8"/>
  <c r="L40" i="8"/>
  <c r="N66" i="8"/>
  <c r="P62" i="8"/>
  <c r="P38" i="8"/>
  <c r="P49" i="8"/>
  <c r="P28" i="8"/>
  <c r="P3" i="8"/>
  <c r="P37" i="8"/>
  <c r="P48" i="8"/>
  <c r="P58" i="8"/>
  <c r="P11" i="8"/>
  <c r="L29" i="8"/>
  <c r="L18" i="8"/>
  <c r="Q49" i="8"/>
  <c r="P9" i="8"/>
  <c r="Q35" i="8"/>
  <c r="Q56" i="8"/>
  <c r="Q32" i="8"/>
  <c r="Q53" i="8"/>
  <c r="P27" i="8"/>
  <c r="Q39" i="8"/>
  <c r="Q50" i="8"/>
  <c r="P57" i="8"/>
  <c r="P32" i="8"/>
  <c r="P6" i="8"/>
  <c r="P15" i="8"/>
  <c r="P2" i="8"/>
  <c r="P36" i="8"/>
  <c r="P47" i="8"/>
  <c r="P10" i="8"/>
  <c r="N15" i="7"/>
  <c r="Q59" i="7"/>
  <c r="N26" i="7"/>
  <c r="P35" i="7"/>
  <c r="L41" i="7"/>
  <c r="N32" i="7"/>
  <c r="R26" i="7"/>
  <c r="Q31" i="7"/>
  <c r="Q32" i="7" s="1"/>
  <c r="Q38" i="7"/>
  <c r="Q49" i="7"/>
  <c r="Q50" i="7" s="1"/>
  <c r="L32" i="7"/>
  <c r="P13" i="7"/>
  <c r="P61" i="7"/>
  <c r="L7" i="7"/>
  <c r="Q6" i="7"/>
  <c r="N7" i="7"/>
  <c r="L64" i="7"/>
  <c r="R7" i="7"/>
  <c r="N41" i="7"/>
  <c r="N64" i="7"/>
  <c r="N50" i="7"/>
  <c r="P19" i="7"/>
  <c r="R50" i="7"/>
  <c r="P24" i="7"/>
  <c r="P45" i="7"/>
  <c r="R41" i="7"/>
  <c r="P3" i="7"/>
  <c r="Q10" i="7"/>
  <c r="P40" i="7"/>
  <c r="P47" i="7"/>
  <c r="R15" i="7"/>
  <c r="L26" i="7"/>
  <c r="Q22" i="7"/>
  <c r="Q54" i="7"/>
  <c r="P56" i="7"/>
  <c r="R64" i="7"/>
  <c r="R32" i="7"/>
  <c r="L15" i="7"/>
  <c r="P5" i="7"/>
  <c r="P37" i="7"/>
  <c r="P58" i="7"/>
  <c r="P14" i="7"/>
  <c r="Q37" i="7"/>
  <c r="P46" i="7"/>
  <c r="P2" i="7"/>
  <c r="P23" i="7"/>
  <c r="L50" i="7"/>
  <c r="P55" i="7"/>
  <c r="Q2" i="7"/>
  <c r="P11" i="7"/>
  <c r="Q11" i="7"/>
  <c r="P20" i="7"/>
  <c r="P62" i="7"/>
  <c r="P29" i="7"/>
  <c r="P53" i="7"/>
  <c r="P30" i="7"/>
  <c r="Q53" i="7"/>
  <c r="Q18" i="7"/>
  <c r="Q26" i="7" s="1"/>
  <c r="P48" i="7"/>
  <c r="P44" i="7"/>
  <c r="Q63" i="7"/>
  <c r="P39" i="7"/>
  <c r="P60" i="7"/>
  <c r="P4" i="7"/>
  <c r="P25" i="7"/>
  <c r="P36" i="7"/>
  <c r="P57" i="7"/>
  <c r="P21" i="7"/>
  <c r="P12" i="7"/>
  <c r="P18" i="7"/>
  <c r="L6" i="6"/>
  <c r="P2" i="6"/>
  <c r="P4" i="6"/>
  <c r="P5" i="6"/>
  <c r="Q5" i="5"/>
  <c r="P10" i="5"/>
  <c r="N20" i="5"/>
  <c r="R20" i="5"/>
  <c r="N25" i="5"/>
  <c r="P24" i="5"/>
  <c r="Q15" i="5"/>
  <c r="L25" i="5"/>
  <c r="Q9" i="5"/>
  <c r="Q19" i="5"/>
  <c r="P6" i="5"/>
  <c r="P16" i="5"/>
  <c r="L20" i="5"/>
  <c r="P3" i="5"/>
  <c r="P13" i="5"/>
  <c r="P12" i="5"/>
  <c r="L30" i="5"/>
  <c r="P11" i="5"/>
  <c r="Q23" i="5"/>
  <c r="Q25" i="5" s="1"/>
  <c r="Q2" i="5"/>
  <c r="P29" i="5"/>
  <c r="Q7" i="5"/>
  <c r="Q4" i="5"/>
  <c r="P14" i="5"/>
  <c r="P8" i="5"/>
  <c r="P18" i="5"/>
  <c r="P17" i="5"/>
  <c r="Q21" i="4"/>
  <c r="R38" i="4"/>
  <c r="N50" i="4"/>
  <c r="Q25" i="4"/>
  <c r="R50" i="4"/>
  <c r="Q13" i="4"/>
  <c r="Q30" i="4"/>
  <c r="P42" i="4"/>
  <c r="Q35" i="4"/>
  <c r="Q47" i="4"/>
  <c r="P20" i="4"/>
  <c r="P6" i="4"/>
  <c r="Q9" i="4"/>
  <c r="Q18" i="4"/>
  <c r="N9" i="4"/>
  <c r="R9" i="4"/>
  <c r="Q31" i="4"/>
  <c r="Q23" i="4"/>
  <c r="P15" i="4"/>
  <c r="Q28" i="4"/>
  <c r="L38" i="4"/>
  <c r="Q33" i="4"/>
  <c r="N38" i="4"/>
  <c r="P3" i="4"/>
  <c r="Q44" i="4"/>
  <c r="Q12" i="4"/>
  <c r="Q22" i="4"/>
  <c r="P29" i="4"/>
  <c r="Q41" i="4"/>
  <c r="P7" i="4"/>
  <c r="Q19" i="4"/>
  <c r="P48" i="4"/>
  <c r="P16" i="4"/>
  <c r="P26" i="4"/>
  <c r="P36" i="4"/>
  <c r="P4" i="4"/>
  <c r="P45" i="4"/>
  <c r="Q32" i="4"/>
  <c r="P12" i="4"/>
  <c r="P8" i="4"/>
  <c r="P49" i="4"/>
  <c r="P17" i="4"/>
  <c r="P27" i="4"/>
  <c r="P37" i="4"/>
  <c r="P5" i="4"/>
  <c r="P46" i="4"/>
  <c r="L9" i="4"/>
  <c r="P24" i="4"/>
  <c r="L50" i="4"/>
  <c r="P2" i="4"/>
  <c r="Q14" i="4"/>
  <c r="Q34" i="4"/>
  <c r="P43" i="4"/>
  <c r="Q58" i="3"/>
  <c r="P54" i="3"/>
  <c r="P14" i="3"/>
  <c r="Q36" i="3"/>
  <c r="Q114" i="3"/>
  <c r="Q37" i="3"/>
  <c r="Q146" i="3"/>
  <c r="P21" i="3"/>
  <c r="P135" i="3"/>
  <c r="Q108" i="3"/>
  <c r="N84" i="3"/>
  <c r="Q5" i="3"/>
  <c r="Q105" i="3"/>
  <c r="P134" i="3"/>
  <c r="P163" i="3"/>
  <c r="L147" i="3"/>
  <c r="Q57" i="3"/>
  <c r="P53" i="3"/>
  <c r="Q97" i="3"/>
  <c r="Q22" i="3"/>
  <c r="P155" i="3"/>
  <c r="Q31" i="3"/>
  <c r="P68" i="3"/>
  <c r="Q115" i="3"/>
  <c r="Q128" i="3"/>
  <c r="P35" i="3"/>
  <c r="Q107" i="3"/>
  <c r="Q56" i="3"/>
  <c r="P73" i="3"/>
  <c r="P144" i="3"/>
  <c r="Q12" i="3"/>
  <c r="Q27" i="3"/>
  <c r="Q95" i="3"/>
  <c r="P112" i="3"/>
  <c r="Q137" i="3"/>
  <c r="P44" i="3"/>
  <c r="P80" i="3"/>
  <c r="R147" i="3"/>
  <c r="P160" i="3"/>
  <c r="P4" i="3"/>
  <c r="P104" i="3"/>
  <c r="P125" i="3"/>
  <c r="P129" i="3"/>
  <c r="P156" i="3"/>
  <c r="R166" i="3"/>
  <c r="R139" i="3"/>
  <c r="P63" i="3"/>
  <c r="P34" i="3"/>
  <c r="Q67" i="3"/>
  <c r="P94" i="3"/>
  <c r="Q102" i="3"/>
  <c r="P19" i="3"/>
  <c r="Q26" i="3"/>
  <c r="Q98" i="3"/>
  <c r="P15" i="3"/>
  <c r="Q43" i="3"/>
  <c r="Q83" i="3"/>
  <c r="P124" i="3"/>
  <c r="Q47" i="3"/>
  <c r="R84" i="3"/>
  <c r="P13" i="3"/>
  <c r="P96" i="3"/>
  <c r="Q41" i="3"/>
  <c r="Q74" i="3"/>
  <c r="Q117" i="3"/>
  <c r="Q9" i="3"/>
  <c r="Q33" i="3"/>
  <c r="P45" i="3"/>
  <c r="Q66" i="3"/>
  <c r="P82" i="3"/>
  <c r="Q118" i="3"/>
  <c r="N23" i="3"/>
  <c r="N139" i="3"/>
  <c r="Q127" i="3"/>
  <c r="Q158" i="3"/>
  <c r="Q2" i="3"/>
  <c r="Q46" i="3"/>
  <c r="Q76" i="3"/>
  <c r="N166" i="3"/>
  <c r="P64" i="3"/>
  <c r="Q138" i="3"/>
  <c r="P165" i="3"/>
  <c r="Q88" i="3"/>
  <c r="Q154" i="3"/>
  <c r="P154" i="3"/>
  <c r="P150" i="3"/>
  <c r="Q28" i="3"/>
  <c r="Q55" i="3"/>
  <c r="Q111" i="3"/>
  <c r="P111" i="3"/>
  <c r="Q6" i="3"/>
  <c r="Q52" i="3"/>
  <c r="P52" i="3"/>
  <c r="P71" i="3"/>
  <c r="P99" i="3"/>
  <c r="Q123" i="3"/>
  <c r="P123" i="3"/>
  <c r="L23" i="3"/>
  <c r="Q131" i="3"/>
  <c r="P131" i="3"/>
  <c r="Q145" i="3"/>
  <c r="P145" i="3"/>
  <c r="P3" i="3"/>
  <c r="P48" i="3"/>
  <c r="Q60" i="3"/>
  <c r="P60" i="3"/>
  <c r="P75" i="3"/>
  <c r="P119" i="3"/>
  <c r="P11" i="3"/>
  <c r="P92" i="3"/>
  <c r="Q152" i="3"/>
  <c r="P152" i="3"/>
  <c r="Q164" i="3"/>
  <c r="P164" i="3"/>
  <c r="Q72" i="3"/>
  <c r="P72" i="3"/>
  <c r="P122" i="3"/>
  <c r="Q40" i="3"/>
  <c r="P40" i="3"/>
  <c r="Q162" i="3"/>
  <c r="P162" i="3"/>
  <c r="Q32" i="3"/>
  <c r="P32" i="3"/>
  <c r="P106" i="3"/>
  <c r="Q91" i="3"/>
  <c r="P91" i="3"/>
  <c r="Q18" i="3"/>
  <c r="P18" i="3"/>
  <c r="Q103" i="3"/>
  <c r="P103" i="3"/>
  <c r="P126" i="3"/>
  <c r="Q81" i="3"/>
  <c r="P81" i="3"/>
  <c r="Q93" i="3"/>
  <c r="P93" i="3"/>
  <c r="P132" i="3"/>
  <c r="N147" i="3"/>
  <c r="Q20" i="3"/>
  <c r="P20" i="3"/>
  <c r="Q42" i="3"/>
  <c r="P42" i="3"/>
  <c r="Q101" i="3"/>
  <c r="P101" i="3"/>
  <c r="R77" i="3"/>
  <c r="P89" i="3"/>
  <c r="P153" i="3"/>
  <c r="L77" i="3"/>
  <c r="Q16" i="3"/>
  <c r="Q38" i="3"/>
  <c r="Q65" i="3"/>
  <c r="P109" i="3"/>
  <c r="Q133" i="3"/>
  <c r="P133" i="3"/>
  <c r="P157" i="3"/>
  <c r="L166" i="3"/>
  <c r="Q70" i="3"/>
  <c r="P70" i="3"/>
  <c r="P51" i="3"/>
  <c r="Q10" i="3"/>
  <c r="P10" i="3"/>
  <c r="L139" i="3"/>
  <c r="R23" i="3"/>
  <c r="Q30" i="3"/>
  <c r="P30" i="3"/>
  <c r="Q8" i="3"/>
  <c r="P8" i="3"/>
  <c r="N77" i="3"/>
  <c r="P116" i="3"/>
  <c r="P61" i="3"/>
  <c r="Q113" i="3"/>
  <c r="P113" i="3"/>
  <c r="P136" i="3"/>
  <c r="Q50" i="3"/>
  <c r="P50" i="3"/>
  <c r="Q121" i="3"/>
  <c r="P121" i="3"/>
  <c r="Q62" i="3"/>
  <c r="P62" i="3"/>
  <c r="L84" i="3"/>
  <c r="P143" i="3"/>
  <c r="P142" i="3"/>
  <c r="P29" i="3"/>
  <c r="P39" i="3"/>
  <c r="P49" i="3"/>
  <c r="P59" i="3"/>
  <c r="P69" i="3"/>
  <c r="P90" i="3"/>
  <c r="P100" i="3"/>
  <c r="P110" i="3"/>
  <c r="P120" i="3"/>
  <c r="P130" i="3"/>
  <c r="Q142" i="3"/>
  <c r="P151" i="3"/>
  <c r="P161" i="3"/>
  <c r="P7" i="3"/>
  <c r="P17" i="3"/>
  <c r="P87" i="3"/>
  <c r="P159" i="3"/>
  <c r="P3" i="2"/>
  <c r="Q82" i="2"/>
  <c r="Q72" i="2"/>
  <c r="Q62" i="2"/>
  <c r="Q52" i="2"/>
  <c r="Q21" i="2"/>
  <c r="Q85" i="2"/>
  <c r="Q75" i="2"/>
  <c r="Q65" i="2"/>
  <c r="Q36" i="2"/>
  <c r="Q43" i="2" s="1"/>
  <c r="Q5" i="2"/>
  <c r="Q12" i="2" s="1"/>
  <c r="Q88" i="2"/>
  <c r="Q78" i="2"/>
  <c r="Q68" i="2"/>
  <c r="Q58" i="2"/>
  <c r="Q48" i="2"/>
  <c r="Q90" i="2" s="1"/>
  <c r="Q27" i="2"/>
  <c r="Q17" i="2"/>
  <c r="Q31" i="2" l="1"/>
  <c r="Q57" i="11"/>
  <c r="Q82" i="11"/>
  <c r="Q60" i="36"/>
  <c r="Q34" i="36"/>
  <c r="Q47" i="35"/>
  <c r="Q5" i="35"/>
  <c r="Q68" i="34"/>
  <c r="Q58" i="34"/>
  <c r="Q50" i="34"/>
  <c r="Q40" i="33"/>
  <c r="Q26" i="33"/>
  <c r="Q53" i="32"/>
  <c r="Q73" i="32"/>
  <c r="Q12" i="32"/>
  <c r="Q35" i="32"/>
  <c r="Q49" i="25"/>
  <c r="Q37" i="25"/>
  <c r="Q21" i="25"/>
  <c r="Q19" i="24"/>
  <c r="Q28" i="24"/>
  <c r="Q54" i="24"/>
  <c r="Q107" i="23"/>
  <c r="Q10" i="23"/>
  <c r="Q27" i="23"/>
  <c r="Q16" i="21"/>
  <c r="Q36" i="20"/>
  <c r="Q24" i="20"/>
  <c r="Q16" i="20"/>
  <c r="Q7" i="20"/>
  <c r="Q52" i="20"/>
  <c r="P52" i="20"/>
  <c r="Q16" i="19"/>
  <c r="Q25" i="19"/>
  <c r="Q63" i="18"/>
  <c r="Q24" i="18"/>
  <c r="Q40" i="18"/>
  <c r="Q45" i="17"/>
  <c r="Q11" i="17"/>
  <c r="Q34" i="17"/>
  <c r="Q47" i="15"/>
  <c r="Q81" i="15"/>
  <c r="Q35" i="15"/>
  <c r="Q6" i="15"/>
  <c r="Q72" i="15"/>
  <c r="Q12" i="15"/>
  <c r="Q59" i="14"/>
  <c r="Q24" i="14"/>
  <c r="Q39" i="13"/>
  <c r="Q26" i="13"/>
  <c r="Q32" i="12"/>
  <c r="Q37" i="11"/>
  <c r="Q70" i="11"/>
  <c r="P70" i="11"/>
  <c r="P57" i="11"/>
  <c r="Q7" i="10"/>
  <c r="Q70" i="10"/>
  <c r="Q20" i="10"/>
  <c r="Q21" i="9"/>
  <c r="Q15" i="9"/>
  <c r="Q29" i="9"/>
  <c r="Q35" i="9"/>
  <c r="Q6" i="9"/>
  <c r="Q23" i="8"/>
  <c r="P18" i="8"/>
  <c r="Q59" i="8"/>
  <c r="Q40" i="8"/>
  <c r="Q15" i="7"/>
  <c r="Q41" i="7"/>
  <c r="Q7" i="7"/>
  <c r="Q64" i="7"/>
  <c r="Q20" i="5"/>
  <c r="Q50" i="4"/>
  <c r="Q38" i="4"/>
  <c r="Q147" i="3"/>
  <c r="Q166" i="3"/>
  <c r="Q84" i="3"/>
  <c r="Q23" i="3"/>
  <c r="Q139" i="3"/>
  <c r="Q77" i="3"/>
</calcChain>
</file>

<file path=xl/sharedStrings.xml><?xml version="1.0" encoding="utf-8"?>
<sst xmlns="http://schemas.openxmlformats.org/spreadsheetml/2006/main" count="8531" uniqueCount="2760">
  <si>
    <t>Parcel Number</t>
  </si>
  <si>
    <t>Street Address</t>
  </si>
  <si>
    <t>Land Table</t>
  </si>
  <si>
    <t>Sale Date</t>
  </si>
  <si>
    <t>Sale Price</t>
  </si>
  <si>
    <t>Instr.</t>
  </si>
  <si>
    <t>Terms of Sale</t>
  </si>
  <si>
    <t>Adj. Sale $</t>
  </si>
  <si>
    <t>Cur. Asmnt.</t>
  </si>
  <si>
    <t>Asd/Adj. Sale</t>
  </si>
  <si>
    <t>Cur. Appraisal</t>
  </si>
  <si>
    <t>Land Residual</t>
  </si>
  <si>
    <t>Est. Land Value</t>
  </si>
  <si>
    <t>Land Allocation</t>
  </si>
  <si>
    <t>Net Acres</t>
  </si>
  <si>
    <t>Dollars/Acre</t>
  </si>
  <si>
    <t>Dollars/SqFt</t>
  </si>
  <si>
    <t>EST Land Value Per SQFT</t>
  </si>
  <si>
    <t>Class</t>
  </si>
  <si>
    <t>C -19-01-101-012</t>
  </si>
  <si>
    <t>1045 OAK TREE LN</t>
  </si>
  <si>
    <t>Land Table 01100</t>
  </si>
  <si>
    <t>PTA</t>
  </si>
  <si>
    <t>03-ARM'S LENGTH</t>
  </si>
  <si>
    <t>401</t>
  </si>
  <si>
    <t>C -19-01-102-030</t>
  </si>
  <si>
    <t>1735 SQUIRREL VALLEY DR</t>
  </si>
  <si>
    <t>C -19-01-151-018</t>
  </si>
  <si>
    <t>1855 SQUIRREL VALLEY DR</t>
  </si>
  <si>
    <t>WD</t>
  </si>
  <si>
    <t>C -19-01-176-022</t>
  </si>
  <si>
    <t>1142 FOXWOOD CT</t>
  </si>
  <si>
    <t>C -19-02-226-074</t>
  </si>
  <si>
    <t>1610 BRANDYWINE DR</t>
  </si>
  <si>
    <t>C -19-02-228-014</t>
  </si>
  <si>
    <t>1655 BRANDYWINE DR</t>
  </si>
  <si>
    <t>C -19-02-230-001</t>
  </si>
  <si>
    <t>1685 SHAKER HEIGHTS DR</t>
  </si>
  <si>
    <t>C -19-02-230-002</t>
  </si>
  <si>
    <t>1729 SHAKER HEIGHTS DR</t>
  </si>
  <si>
    <t>C -19-02-276-003</t>
  </si>
  <si>
    <t>1855 SHAKER HEIGHTS DR</t>
  </si>
  <si>
    <t>C -19-01-151-006</t>
  </si>
  <si>
    <t>1882 SPRING GROVE RD</t>
  </si>
  <si>
    <t>Land Table 01110</t>
  </si>
  <si>
    <t>C -19-01-152-023</t>
  </si>
  <si>
    <t>1883 SPRING GROVE RD</t>
  </si>
  <si>
    <t>C -19-01-302-005</t>
  </si>
  <si>
    <t>1015 BRENTHAVEN DR</t>
  </si>
  <si>
    <t>C -19-01-302-012</t>
  </si>
  <si>
    <t>1057 BRENTHAVEN DR</t>
  </si>
  <si>
    <t>C -19-01-303-002</t>
  </si>
  <si>
    <t>1984 PARK RIDGE DR</t>
  </si>
  <si>
    <t>C -19-01-304-011</t>
  </si>
  <si>
    <t>2275 PARK RIDGE DR</t>
  </si>
  <si>
    <t>C -19-01-304-012</t>
  </si>
  <si>
    <t>2128 LOST TREE WAY</t>
  </si>
  <si>
    <t>C -19-01-305-002</t>
  </si>
  <si>
    <t>1042 BRENTHAVEN DR</t>
  </si>
  <si>
    <t>C -19-01-305-015</t>
  </si>
  <si>
    <t>2200 BRENTHAVEN DR</t>
  </si>
  <si>
    <t>C -19-01-351-007</t>
  </si>
  <si>
    <t>2456 PARK RIDGE DR</t>
  </si>
  <si>
    <t>C -19-01-351-008</t>
  </si>
  <si>
    <t>2478 PARK RIDGE DR</t>
  </si>
  <si>
    <t>C -19-01-352-010</t>
  </si>
  <si>
    <t>2308 LOST TREE WAY</t>
  </si>
  <si>
    <t>C -19-01-353-002</t>
  </si>
  <si>
    <t>2333 LOST TREE WAY</t>
  </si>
  <si>
    <t>C -19-01-353-011</t>
  </si>
  <si>
    <t>2330 BRENTHAVEN DR</t>
  </si>
  <si>
    <t>C -19-01-353-016</t>
  </si>
  <si>
    <t>2444 BRENTHAVEN DR</t>
  </si>
  <si>
    <t>C -19-01-354-013</t>
  </si>
  <si>
    <t>2491 BRENTHAVEN DR</t>
  </si>
  <si>
    <t>C -19-01-127-004</t>
  </si>
  <si>
    <t>1198 WINCHCOMBE DR</t>
  </si>
  <si>
    <t>Land Table 01120</t>
  </si>
  <si>
    <t>C -19-01-127-007</t>
  </si>
  <si>
    <t>1240 WINCHCOMBE DR</t>
  </si>
  <si>
    <t>C -19-01-127-012</t>
  </si>
  <si>
    <t>1211 ASHOVER DR</t>
  </si>
  <si>
    <t>C -19-01-201-026</t>
  </si>
  <si>
    <t>1520 LEDBURY DR</t>
  </si>
  <si>
    <t>C -19-01-202-015</t>
  </si>
  <si>
    <t>1372 ASHOVER DR</t>
  </si>
  <si>
    <t>C -19-01-203-007</t>
  </si>
  <si>
    <t>1837 FAIRFORD DR</t>
  </si>
  <si>
    <t>C -19-01-204-005</t>
  </si>
  <si>
    <t>1845 BROOKVIEW CIR</t>
  </si>
  <si>
    <t>C -19-01-204-014</t>
  </si>
  <si>
    <t>1856 LEDBURY DR</t>
  </si>
  <si>
    <t>C -19-01-226-016</t>
  </si>
  <si>
    <t>1269 ASHOVER DR</t>
  </si>
  <si>
    <t>C -19-01-252-007</t>
  </si>
  <si>
    <t>1117 IVYGLEN CIR</t>
  </si>
  <si>
    <t>Land Table 01210</t>
  </si>
  <si>
    <t>407</t>
  </si>
  <si>
    <t>C -19-01-252-013</t>
  </si>
  <si>
    <t>1133 IVYGLEN CIR</t>
  </si>
  <si>
    <t>C -19-01-252-015</t>
  </si>
  <si>
    <t>1137 IVYGLEN CIR</t>
  </si>
  <si>
    <t>C -19-01-252-020</t>
  </si>
  <si>
    <t>1151 IVYGLEN CIR</t>
  </si>
  <si>
    <t>C -19-01-252-022</t>
  </si>
  <si>
    <t>1159 IVYGLEN CIR</t>
  </si>
  <si>
    <t>C -19-01-276-034</t>
  </si>
  <si>
    <t>1286 GREENGLEN CT</t>
  </si>
  <si>
    <t>C -19-01-276-052</t>
  </si>
  <si>
    <t>1219 TIMBERVIEW TRL</t>
  </si>
  <si>
    <t>C -19-01-276-062</t>
  </si>
  <si>
    <t>1189 TIMBERVIEW TRL</t>
  </si>
  <si>
    <t>C -19-01-277-012</t>
  </si>
  <si>
    <t>1447 RAVINEVIEW CT # C-12</t>
  </si>
  <si>
    <t>C -19-01-277-024</t>
  </si>
  <si>
    <t>1405 WOODGLEN LN # F-24</t>
  </si>
  <si>
    <t>C -19-01-277-025</t>
  </si>
  <si>
    <t>1403 WOODGLEN LN # F-25</t>
  </si>
  <si>
    <t>C -19-01-277-060</t>
  </si>
  <si>
    <t>1312 FORESTGLEN CT # Q-60</t>
  </si>
  <si>
    <t>C -19-01-277-085</t>
  </si>
  <si>
    <t>1370 BRAMBLEBUSH RUN # W-85</t>
  </si>
  <si>
    <t>C -19-01-277-088</t>
  </si>
  <si>
    <t>1376 BRAMBLEBUSH RUN # X-88</t>
  </si>
  <si>
    <t>C -19-01-277-097</t>
  </si>
  <si>
    <t>1386 BRAMBLEBUSH RUN</t>
  </si>
  <si>
    <t>C -19-01-277-099</t>
  </si>
  <si>
    <t>1472 TIMBERVIEW TRL</t>
  </si>
  <si>
    <t>C -19-01-402-005</t>
  </si>
  <si>
    <t>1244 S TIMBERVIEW TRL</t>
  </si>
  <si>
    <t>C -19-01-402-010</t>
  </si>
  <si>
    <t>1228 S TIMBERVIEW TRL</t>
  </si>
  <si>
    <t>C -19-01-402-012</t>
  </si>
  <si>
    <t>1220 S TIMBERVIEW TRL</t>
  </si>
  <si>
    <t>C -19-01-402-027</t>
  </si>
  <si>
    <t>1201 HILLPOINTE CIR</t>
  </si>
  <si>
    <t>C -19-01-402-031</t>
  </si>
  <si>
    <t>1157 HILLPOINTE CIR</t>
  </si>
  <si>
    <t>C -19-01-402-033</t>
  </si>
  <si>
    <t>1161 HILLPOINTE CIR</t>
  </si>
  <si>
    <t>C -19-01-402-034</t>
  </si>
  <si>
    <t>1163 HILLPOINTE CIR</t>
  </si>
  <si>
    <t>C -19-01-402-038</t>
  </si>
  <si>
    <t>1166 HILLPOINTE CIR</t>
  </si>
  <si>
    <t>C -19-01-402-051</t>
  </si>
  <si>
    <t>1154 HILLPOINTE CIR</t>
  </si>
  <si>
    <t>C -19-01-402-055</t>
  </si>
  <si>
    <t>1146 HILLPOINTE CIR</t>
  </si>
  <si>
    <t>C -19-01-402-056</t>
  </si>
  <si>
    <t>1138 HILLPOINTE CIR</t>
  </si>
  <si>
    <t>C -19-01-402-057</t>
  </si>
  <si>
    <t>1136 HILLPOINTE CIR</t>
  </si>
  <si>
    <t>C -19-01-402-064</t>
  </si>
  <si>
    <t>1106 HILLPOINTE CIR</t>
  </si>
  <si>
    <t>C -19-01-403-001</t>
  </si>
  <si>
    <t>1233 WOODCREST CIR</t>
  </si>
  <si>
    <t>C -19-01-403-005</t>
  </si>
  <si>
    <t>1213 WOODCREST CIR</t>
  </si>
  <si>
    <t>C -19-01-403-011</t>
  </si>
  <si>
    <t>1261 WOODCREST CIR</t>
  </si>
  <si>
    <t>C -19-01-403-013</t>
  </si>
  <si>
    <t>1260 WOODCREST CIR</t>
  </si>
  <si>
    <t>C -19-01-403-017</t>
  </si>
  <si>
    <t>1243 MANORWOOD CIR</t>
  </si>
  <si>
    <t>C -19-01-403-056</t>
  </si>
  <si>
    <t>1189 GLENPOINTE CT</t>
  </si>
  <si>
    <t>C -19-01-403-070</t>
  </si>
  <si>
    <t>1178 GLENPOINTE CT</t>
  </si>
  <si>
    <t>C -19-01-403-080</t>
  </si>
  <si>
    <t>1136 MEADOWGLEN CT</t>
  </si>
  <si>
    <t>C -19-01-403-085</t>
  </si>
  <si>
    <t>1137 MEADOWGLEN CT</t>
  </si>
  <si>
    <t>C -19-01-403-108</t>
  </si>
  <si>
    <t>1137 TIMBERVIEW TRL</t>
  </si>
  <si>
    <t>C -19-01-403-111</t>
  </si>
  <si>
    <t>1143 TIMBERVIEW TRL</t>
  </si>
  <si>
    <t>C -19-01-403-112</t>
  </si>
  <si>
    <t>1145 TIMBERVIEW TRL</t>
  </si>
  <si>
    <t>C -19-01-403-125</t>
  </si>
  <si>
    <t>1171 TIMBERVIEW TRL</t>
  </si>
  <si>
    <t>Land Allociation</t>
  </si>
  <si>
    <t>C -19-02-102-004</t>
  </si>
  <si>
    <t>473 FOX RIVER DR</t>
  </si>
  <si>
    <t>Land Table 02100</t>
  </si>
  <si>
    <t>C -19-02-102-009</t>
  </si>
  <si>
    <t>545 FOX RIVER DR</t>
  </si>
  <si>
    <t>C -19-02-102-015</t>
  </si>
  <si>
    <t>645 FOX RIVER DR</t>
  </si>
  <si>
    <t>C -19-02-103-036</t>
  </si>
  <si>
    <t>651 SEDGEFIELD DR</t>
  </si>
  <si>
    <t>C -19-02-104-003</t>
  </si>
  <si>
    <t>466 ROLLING ROCK RD</t>
  </si>
  <si>
    <t>C -19-02-104-014</t>
  </si>
  <si>
    <t>656 ROLLING ROCK RD</t>
  </si>
  <si>
    <t>C -19-02-126-007</t>
  </si>
  <si>
    <t>1605 OLD CHATHAM DR</t>
  </si>
  <si>
    <t>C -19-02-126-022</t>
  </si>
  <si>
    <t>1610 HUNTERS RIDGE DR</t>
  </si>
  <si>
    <t>C -19-02-128-004</t>
  </si>
  <si>
    <t>1601 HUNTERS RIDGE DR</t>
  </si>
  <si>
    <t>C -19-02-129-006</t>
  </si>
  <si>
    <t>600 SEDGEFIELD DR</t>
  </si>
  <si>
    <t>C -19-02-129-015</t>
  </si>
  <si>
    <t>756 FOX RIVER DR</t>
  </si>
  <si>
    <t>C -19-02-129-027</t>
  </si>
  <si>
    <t>764 FOX RIVER DR</t>
  </si>
  <si>
    <t>C -19-02-129-030</t>
  </si>
  <si>
    <t>693 ROLLING ROCK RD</t>
  </si>
  <si>
    <t>C -19-02-130-012</t>
  </si>
  <si>
    <t>1884 HUNTERS RIDGE DR</t>
  </si>
  <si>
    <t>C -19-02-152-031</t>
  </si>
  <si>
    <t>1912 HUNTERS RIDGE DR</t>
  </si>
  <si>
    <t>C -19-02-153-002</t>
  </si>
  <si>
    <t>1963 FOX RIVER DR</t>
  </si>
  <si>
    <t>C -19-02-154-005</t>
  </si>
  <si>
    <t>1951 HUNTERS RIDGE DR</t>
  </si>
  <si>
    <t>C -19-02-176-020</t>
  </si>
  <si>
    <t>625 S SPINNINGWHEEL LN</t>
  </si>
  <si>
    <t>C -19-02-176-042</t>
  </si>
  <si>
    <t>655 S SPINNINGWHEEL LN</t>
  </si>
  <si>
    <t>C -19-02-176-043</t>
  </si>
  <si>
    <t>663 S SPINNINGWHEEL LN</t>
  </si>
  <si>
    <t>C -19-02-176-044</t>
  </si>
  <si>
    <t>2090 E SPINNINGWHEEL LN</t>
  </si>
  <si>
    <t>C -19-02-476-008</t>
  </si>
  <si>
    <t>741 BRIAR HILL LN</t>
  </si>
  <si>
    <t>Land Table 02200</t>
  </si>
  <si>
    <t>C -19-02-476-014</t>
  </si>
  <si>
    <t>796 EDGEMONT RUN</t>
  </si>
  <si>
    <t>C -19-02-476-020</t>
  </si>
  <si>
    <t>840 EDGEMONT RUN</t>
  </si>
  <si>
    <t>C -19-02-476-053</t>
  </si>
  <si>
    <t>2481 WILDBROOK RUN</t>
  </si>
  <si>
    <t>C -19-02-476-063</t>
  </si>
  <si>
    <t>2470 WILDBROOK RUN</t>
  </si>
  <si>
    <t>C -19-02-476-064</t>
  </si>
  <si>
    <t>2478 WILDBROOK RUN</t>
  </si>
  <si>
    <t>C -19-02-476-074</t>
  </si>
  <si>
    <t>2509 WILDBROOK RUN</t>
  </si>
  <si>
    <t>C -19-02-476-080</t>
  </si>
  <si>
    <t>2401 WILDBROOK RUN</t>
  </si>
  <si>
    <t>C -19-02-476-081</t>
  </si>
  <si>
    <t>880 TARTAN TRL</t>
  </si>
  <si>
    <t>C -19-02-476-090</t>
  </si>
  <si>
    <t>900 TARTAN TRL</t>
  </si>
  <si>
    <t>C -19-02-476-099</t>
  </si>
  <si>
    <t>911 TARTAN TRL</t>
  </si>
  <si>
    <t>C -19-02-476-108</t>
  </si>
  <si>
    <t>728 BRIAR HILL LN</t>
  </si>
  <si>
    <t>C -19-02-476-112</t>
  </si>
  <si>
    <t>844 UPPER SCOTSBOROUGH WAY</t>
  </si>
  <si>
    <t>C -19-02-476-113</t>
  </si>
  <si>
    <t>832 UPPER SCOTSBOROUGH WAY</t>
  </si>
  <si>
    <t>C -19-02-476-120</t>
  </si>
  <si>
    <t>742 UPPER SCOTSBOROUGH WAY</t>
  </si>
  <si>
    <t>C -19-02-476-122</t>
  </si>
  <si>
    <t>718 UPPER SCOTSBOROUGH WAY</t>
  </si>
  <si>
    <t>C -19-02-476-128</t>
  </si>
  <si>
    <t>709 UPPER SCOTSBOROUGH WAY</t>
  </si>
  <si>
    <t>C -19-02-476-141</t>
  </si>
  <si>
    <t>835 UPPER SCOTSBOROUGH WAY</t>
  </si>
  <si>
    <t>C -19-02-477-009</t>
  </si>
  <si>
    <t>2445 THISTLE POINTE</t>
  </si>
  <si>
    <t>C -19-02-477-034</t>
  </si>
  <si>
    <t>2460 LOCH CREEK WAY</t>
  </si>
  <si>
    <t>C -19-02-477-044</t>
  </si>
  <si>
    <t>2292 SUDBURY WAY</t>
  </si>
  <si>
    <t>C -19-02-478-007</t>
  </si>
  <si>
    <t>636 DEAUVILLE LN</t>
  </si>
  <si>
    <t>C -19-02-478-015</t>
  </si>
  <si>
    <t>684 DEAUVILLE LN # 514</t>
  </si>
  <si>
    <t>C -19-02-478-020</t>
  </si>
  <si>
    <t>607 DEAUVILLE LN</t>
  </si>
  <si>
    <t>C -19-02-478-032</t>
  </si>
  <si>
    <t>589 CAMBRIDGE WAY</t>
  </si>
  <si>
    <t>C -19-02-478-046</t>
  </si>
  <si>
    <t>445 CAMBRIDGE WAY</t>
  </si>
  <si>
    <t>C -19-02-478-052</t>
  </si>
  <si>
    <t>481 CAMBRIDGE WAY</t>
  </si>
  <si>
    <t>C -19-02-478-053</t>
  </si>
  <si>
    <t>487 CAMBRIDGE WAY</t>
  </si>
  <si>
    <t>C -19-02-478-071</t>
  </si>
  <si>
    <t>627 WINDSOR RUN</t>
  </si>
  <si>
    <t>C -19-02-478-074</t>
  </si>
  <si>
    <t>639 WINDSOR RUN</t>
  </si>
  <si>
    <t>C -19-02-479-003</t>
  </si>
  <si>
    <t>2102 EAGLE POINTE</t>
  </si>
  <si>
    <t>C -19-02-479-021</t>
  </si>
  <si>
    <t>2065 EAGLE POINTE</t>
  </si>
  <si>
    <t>C -19-02-479-027</t>
  </si>
  <si>
    <t>2091 EAGLE POINTE</t>
  </si>
  <si>
    <t>C -19-02-479-029</t>
  </si>
  <si>
    <t>2097 EAGLE POINTE</t>
  </si>
  <si>
    <t>C -19-02-479-035</t>
  </si>
  <si>
    <t>2080 EAGLE POINTE</t>
  </si>
  <si>
    <t>C -19-02-479-043</t>
  </si>
  <si>
    <t>1916 EAGLE POINTE</t>
  </si>
  <si>
    <t>C -19-02-479-054</t>
  </si>
  <si>
    <t>1917 EAGLE POINTE</t>
  </si>
  <si>
    <t>C -19-02-479-063</t>
  </si>
  <si>
    <t>1953 EAGLE POINTE</t>
  </si>
  <si>
    <t>C -19-02-480-013</t>
  </si>
  <si>
    <t>539 NEWBURNE POINTE</t>
  </si>
  <si>
    <t>C -19-02-480-015</t>
  </si>
  <si>
    <t>536 NEWBURNE POINTE</t>
  </si>
  <si>
    <t>C -19-02-480-019</t>
  </si>
  <si>
    <t>535 NEWBURNE POINTE</t>
  </si>
  <si>
    <t>C -19-02-480-022</t>
  </si>
  <si>
    <t>529 NEWBURNE POINTE</t>
  </si>
  <si>
    <t>C -19-02-480-029</t>
  </si>
  <si>
    <t>505 NEWBURNE POINTE</t>
  </si>
  <si>
    <t>C -19-02-480-033</t>
  </si>
  <si>
    <t>491 NEWBURNE POINTE</t>
  </si>
  <si>
    <t>C -19-02-480-034</t>
  </si>
  <si>
    <t>479 NEWBURNE POINTE</t>
  </si>
  <si>
    <t>C -19-02-480-044</t>
  </si>
  <si>
    <t>492 NEWBURNE POINTE</t>
  </si>
  <si>
    <t>C -19-02-480-050</t>
  </si>
  <si>
    <t>504 NEWBURNE POINTE</t>
  </si>
  <si>
    <t>C -19-02-480-059</t>
  </si>
  <si>
    <t>522 NEWBURNE POINTE</t>
  </si>
  <si>
    <t>C -19-02-127-013</t>
  </si>
  <si>
    <t>1544 ABERDEEN PL APT 10</t>
  </si>
  <si>
    <t>Land Table 02210</t>
  </si>
  <si>
    <t>C -19-02-127-018</t>
  </si>
  <si>
    <t>1545 ABERDEEN PL APT 15</t>
  </si>
  <si>
    <t>C -19-02-127-046</t>
  </si>
  <si>
    <t>1520 ABERDEEN PL APT 43</t>
  </si>
  <si>
    <t>C -19-02-302-019</t>
  </si>
  <si>
    <t>544 E FOX HILLS DR</t>
  </si>
  <si>
    <t>Land Table 02220</t>
  </si>
  <si>
    <t>C -19-02-302-020</t>
  </si>
  <si>
    <t>580 E FOX HILLS DR</t>
  </si>
  <si>
    <t>C -19-02-302-030</t>
  </si>
  <si>
    <t>595 E FOX HILLS DR</t>
  </si>
  <si>
    <t>C -19-02-302-031</t>
  </si>
  <si>
    <t>593 E FOX HILLS DR</t>
  </si>
  <si>
    <t>C -19-02-302-032</t>
  </si>
  <si>
    <t>591 E FOX HILLS DR</t>
  </si>
  <si>
    <t>C -19-02-302-053</t>
  </si>
  <si>
    <t>651 E FOX HILLS DR</t>
  </si>
  <si>
    <t>C -19-02-302-058</t>
  </si>
  <si>
    <t>641 E FOX HILLS DR</t>
  </si>
  <si>
    <t>C -19-02-302-071</t>
  </si>
  <si>
    <t>683 E FOX HILLS DR</t>
  </si>
  <si>
    <t>C -19-02-302-084</t>
  </si>
  <si>
    <t>622 E FOX HILLS DR</t>
  </si>
  <si>
    <t>C -19-02-302-095</t>
  </si>
  <si>
    <t>644 E FOX HILLS DR</t>
  </si>
  <si>
    <t>C -19-02-302-096</t>
  </si>
  <si>
    <t>658 E FOX HILLS DR</t>
  </si>
  <si>
    <t>C -19-02-302-103</t>
  </si>
  <si>
    <t>640 E FOX HILLS DR</t>
  </si>
  <si>
    <t>C -19-02-302-109</t>
  </si>
  <si>
    <t>664 E FOX HILLS DR</t>
  </si>
  <si>
    <t>C -19-02-302-114</t>
  </si>
  <si>
    <t>674 E FOX HILLS DR</t>
  </si>
  <si>
    <t>C -19-02-302-115</t>
  </si>
  <si>
    <t>676 E FOX HILLS DR</t>
  </si>
  <si>
    <t>C -19-02-302-132</t>
  </si>
  <si>
    <t>716 E FOX HILLS DR</t>
  </si>
  <si>
    <t>C -19-02-302-139</t>
  </si>
  <si>
    <t>730 E FOX HILLS DR</t>
  </si>
  <si>
    <t>C -19-02-302-147</t>
  </si>
  <si>
    <t>748 E FOX HILLS DR</t>
  </si>
  <si>
    <t>C -19-02-302-152</t>
  </si>
  <si>
    <t>760 E FOX HILLS DR</t>
  </si>
  <si>
    <t>C -19-02-302-153</t>
  </si>
  <si>
    <t>762 E FOX HILLS DR</t>
  </si>
  <si>
    <t>C -19-02-302-156</t>
  </si>
  <si>
    <t>770 E FOX HILLS DR</t>
  </si>
  <si>
    <t>C -19-02-302-165</t>
  </si>
  <si>
    <t>777 E FOX HILLS DR</t>
  </si>
  <si>
    <t>C -19-02-302-167</t>
  </si>
  <si>
    <t>773 E FOX HILLS DR</t>
  </si>
  <si>
    <t>C -19-02-302-173</t>
  </si>
  <si>
    <t>751 E FOX HILLS DR</t>
  </si>
  <si>
    <t>C -19-02-302-182</t>
  </si>
  <si>
    <t>739 E FOX HILLS DR</t>
  </si>
  <si>
    <t>C -19-02-303-010</t>
  </si>
  <si>
    <t>468 FOX HILLS DR S # A-1</t>
  </si>
  <si>
    <t>C -19-02-303-068</t>
  </si>
  <si>
    <t>508 FOX HILLS DR N # A-6</t>
  </si>
  <si>
    <t>C -19-02-303-076</t>
  </si>
  <si>
    <t>500 FOX HILLS DR N # A-8</t>
  </si>
  <si>
    <t>C -19-02-303-115</t>
  </si>
  <si>
    <t>426 FOX HILLS DR N # A-5</t>
  </si>
  <si>
    <t>C -19-02-303-122</t>
  </si>
  <si>
    <t>430 FOX HILLS DR N # A-6</t>
  </si>
  <si>
    <t>C -19-02-303-128</t>
  </si>
  <si>
    <t>434 FOX HILLS DR N # A-8</t>
  </si>
  <si>
    <t>C -19-02-303-132</t>
  </si>
  <si>
    <t>416 FOX HILLS DR S # A-1</t>
  </si>
  <si>
    <t>C -19-02-303-152</t>
  </si>
  <si>
    <t>444 FOX HILLS DR N # A-8</t>
  </si>
  <si>
    <t>C -19-02-303-158</t>
  </si>
  <si>
    <t>448 FOX HILLS DR N # A-3</t>
  </si>
  <si>
    <t>C -19-02-303-180</t>
  </si>
  <si>
    <t>454 FOX HILLS DR N # A-2</t>
  </si>
  <si>
    <t>C -19-02-303-185</t>
  </si>
  <si>
    <t>454 FOX HILLS DR N # A-5</t>
  </si>
  <si>
    <t>C -19-02-303-190</t>
  </si>
  <si>
    <t>458 FOX HILLS DR N # A-4</t>
  </si>
  <si>
    <t>C -19-02-303-218</t>
  </si>
  <si>
    <t>470 FOX HILLS DR N # A-8</t>
  </si>
  <si>
    <t>C -19-02-303-275</t>
  </si>
  <si>
    <t>494 FOX HILLS DR N APT 4</t>
  </si>
  <si>
    <t>C -19-02-303-288</t>
  </si>
  <si>
    <t>490 FOX HILLS DR N APT 8</t>
  </si>
  <si>
    <t>C -19-02-303-291</t>
  </si>
  <si>
    <t>433 FOX HILLS DR S APT 3</t>
  </si>
  <si>
    <t>C -19-02-303-296</t>
  </si>
  <si>
    <t>433 FOX HILLS DR S APT 8</t>
  </si>
  <si>
    <t>C -19-02-303-323</t>
  </si>
  <si>
    <t>448 FOX HILLS DR S APT 2</t>
  </si>
  <si>
    <t>C -19-02-303-327</t>
  </si>
  <si>
    <t>448 FOX HILLS DR S APT 6</t>
  </si>
  <si>
    <t>C -19-02-303-328</t>
  </si>
  <si>
    <t>448 FOX HILLS DR S APT 5</t>
  </si>
  <si>
    <t>C -19-02-303-334</t>
  </si>
  <si>
    <t>436 FOX HILLS DR S APT 2</t>
  </si>
  <si>
    <t>C -19-02-303-043</t>
  </si>
  <si>
    <t>530 FOX HILLS DR S</t>
  </si>
  <si>
    <t>Land Table 02230</t>
  </si>
  <si>
    <t>C -19-02-303-051</t>
  </si>
  <si>
    <t>580 FOX HILLS DR S</t>
  </si>
  <si>
    <t>C -19-02-303-059</t>
  </si>
  <si>
    <t>611 FOX HILLS DR N</t>
  </si>
  <si>
    <t>C -19-02-303-206</t>
  </si>
  <si>
    <t>475 FOX HILLS DR N</t>
  </si>
  <si>
    <t>C -19-02-303-270</t>
  </si>
  <si>
    <t>599 FOX HILLS DR N</t>
  </si>
  <si>
    <t>C -19-02-226-006</t>
  </si>
  <si>
    <t>1555 S HILL BLVD</t>
  </si>
  <si>
    <t>Land Table 02240</t>
  </si>
  <si>
    <t>C -19-02-226-022</t>
  </si>
  <si>
    <t>1519 S HILL BLVD</t>
  </si>
  <si>
    <t>C -19-02-226-029</t>
  </si>
  <si>
    <t>1503 S HILL BLVD</t>
  </si>
  <si>
    <t>C -19-02-226-036</t>
  </si>
  <si>
    <t>1570 S HILL BLVD</t>
  </si>
  <si>
    <t>C -19-02-226-044</t>
  </si>
  <si>
    <t>1561 S HILL BLVD</t>
  </si>
  <si>
    <t>C -19-02-226-056</t>
  </si>
  <si>
    <t>1647 S HILL BLVD</t>
  </si>
  <si>
    <t>C -19-02-227-008</t>
  </si>
  <si>
    <t>1610 SOUTH HILL CIR</t>
  </si>
  <si>
    <t>C -19-02-227-013</t>
  </si>
  <si>
    <t>1626 SOUTH HILL CIR</t>
  </si>
  <si>
    <t>C -19-02-227-020</t>
  </si>
  <si>
    <t>1638 SOUTH HILL CIR</t>
  </si>
  <si>
    <t>C -19-02-227-025</t>
  </si>
  <si>
    <t>1654 SOUTH HILL CIR</t>
  </si>
  <si>
    <t>C -19-02-227-059</t>
  </si>
  <si>
    <t>1706 S HILL BLVD</t>
  </si>
  <si>
    <t>C -19-02-227-069</t>
  </si>
  <si>
    <t>1722 S HILL BLVD</t>
  </si>
  <si>
    <t>C -19-02-227-070</t>
  </si>
  <si>
    <t>1720 S HILL BLVD</t>
  </si>
  <si>
    <t>C -19-02-227-081</t>
  </si>
  <si>
    <t>1737 S HILL BLVD</t>
  </si>
  <si>
    <t>C -19-02-227-089</t>
  </si>
  <si>
    <t>1752 S HILL BLVD</t>
  </si>
  <si>
    <t>C -19-02-227-105</t>
  </si>
  <si>
    <t>1806 S HILL BLVD</t>
  </si>
  <si>
    <t>C -19-03-153-002</t>
  </si>
  <si>
    <t>210 HIGHLAND AVE</t>
  </si>
  <si>
    <t>Land Table 03100</t>
  </si>
  <si>
    <t>C -19-03-301-004</t>
  </si>
  <si>
    <t>1616 WINTHROP RD</t>
  </si>
  <si>
    <t>C -19-03-302-011</t>
  </si>
  <si>
    <t>276 E BERKSHIRE RD</t>
  </si>
  <si>
    <t>MLC</t>
  </si>
  <si>
    <t>C -19-04-277-042</t>
  </si>
  <si>
    <t>209 BLOOMFIELD BLVD</t>
  </si>
  <si>
    <t>C -19-04-279-004</t>
  </si>
  <si>
    <t>164 BLOOMFIELD BLVD</t>
  </si>
  <si>
    <t>C -19-04-279-008</t>
  </si>
  <si>
    <t>1423 WINTHROP RD</t>
  </si>
  <si>
    <t>C -19-04-279-010</t>
  </si>
  <si>
    <t>165 HIGHLAND AVE</t>
  </si>
  <si>
    <t>C -19-03-302-014</t>
  </si>
  <si>
    <t>1932 DEVONSHIRE RD</t>
  </si>
  <si>
    <t>Land Table 03110</t>
  </si>
  <si>
    <t>C -19-03-302-030</t>
  </si>
  <si>
    <t>2188 DEVONSHIRE RD</t>
  </si>
  <si>
    <t>C -19-03-302-047</t>
  </si>
  <si>
    <t>95 HILLSDALE RD</t>
  </si>
  <si>
    <t>C -19-03-303-006</t>
  </si>
  <si>
    <t>1997 DEVONSHIRE RD</t>
  </si>
  <si>
    <t>C -19-03-303-035</t>
  </si>
  <si>
    <t>2276 LANCASTER RD</t>
  </si>
  <si>
    <t>C -19-03-304-009</t>
  </si>
  <si>
    <t>2275 LANCASTER RD</t>
  </si>
  <si>
    <t>C -19-03-304-021</t>
  </si>
  <si>
    <t>237 MARLBOROUGH DR</t>
  </si>
  <si>
    <t>C -19-03-326-001</t>
  </si>
  <si>
    <t>2123 SOMERSET RD</t>
  </si>
  <si>
    <t>C -19-03-326-002</t>
  </si>
  <si>
    <t>2143 SOMERSET RD</t>
  </si>
  <si>
    <t>C -19-03-326-004</t>
  </si>
  <si>
    <t>2163 SOMERSET RD</t>
  </si>
  <si>
    <t>C -19-03-326-016</t>
  </si>
  <si>
    <t>2283 SOMERSET RD</t>
  </si>
  <si>
    <t>402</t>
  </si>
  <si>
    <t>C -19-03-327-010</t>
  </si>
  <si>
    <t>2218 SOMERSET RD</t>
  </si>
  <si>
    <t>C -19-03-327-017</t>
  </si>
  <si>
    <t>2288 SOMERSET RD</t>
  </si>
  <si>
    <t>C -19-03-327-022</t>
  </si>
  <si>
    <t>2241 BEDFORD RD</t>
  </si>
  <si>
    <t>C -19-03-377-002</t>
  </si>
  <si>
    <t>158 MARLBOROUGH DR</t>
  </si>
  <si>
    <t>C -19-03-377-016</t>
  </si>
  <si>
    <t>125 BARRINGTON RD</t>
  </si>
  <si>
    <t>C -19-03-379-003</t>
  </si>
  <si>
    <t>2311 RUTHERFORD RD</t>
  </si>
  <si>
    <t>C -19-03-379-004</t>
  </si>
  <si>
    <t>2329 RUTHERFORD RD</t>
  </si>
  <si>
    <t>C -19-03-379-021</t>
  </si>
  <si>
    <t>2376 MULBERRY RD</t>
  </si>
  <si>
    <t>C -19-03-380-001</t>
  </si>
  <si>
    <t>176 BARRINGTON RD</t>
  </si>
  <si>
    <t>C -19-04-276-012</t>
  </si>
  <si>
    <t>135 ALICE AVE</t>
  </si>
  <si>
    <t>C -19-04-277-010</t>
  </si>
  <si>
    <t>124 ALICE AVE</t>
  </si>
  <si>
    <t>C -19-04-277-056</t>
  </si>
  <si>
    <t>300 ALICE AVE</t>
  </si>
  <si>
    <t>C -19-03-451-013</t>
  </si>
  <si>
    <t>2471 MULBERRY SQ APT 11</t>
  </si>
  <si>
    <t>Land Table 03200</t>
  </si>
  <si>
    <t>C -19-03-451-015</t>
  </si>
  <si>
    <t>2463 MULBERRY SQ APT 13</t>
  </si>
  <si>
    <t>C -19-03-451-017</t>
  </si>
  <si>
    <t>2471 MULBERRY SQ APT 15</t>
  </si>
  <si>
    <t>C -19-03-451-030</t>
  </si>
  <si>
    <t>2449 MULBERRY SQ APT 28</t>
  </si>
  <si>
    <t>C -19-03-451-033</t>
  </si>
  <si>
    <t>2449 MULBERRY SQ APT 31</t>
  </si>
  <si>
    <t>C -19-03-451-048</t>
  </si>
  <si>
    <t>2425 MULBERRY SQ APT 46</t>
  </si>
  <si>
    <t>C -19-03-451-061</t>
  </si>
  <si>
    <t>2409 MULBERRY SQ APT 59</t>
  </si>
  <si>
    <t>C -19-03-451-072</t>
  </si>
  <si>
    <t>2375 MULBERRY SQ APT 70</t>
  </si>
  <si>
    <t>C -19-03-451-074</t>
  </si>
  <si>
    <t>2383 MULBERRY SQ APT 72</t>
  </si>
  <si>
    <t>C -19-04-353-008</t>
  </si>
  <si>
    <t>601 KENDRY</t>
  </si>
  <si>
    <t>Land Table 04100</t>
  </si>
  <si>
    <t>C -19-04-353-013</t>
  </si>
  <si>
    <t>507 KENDRY</t>
  </si>
  <si>
    <t>C -19-04-376-009</t>
  </si>
  <si>
    <t>450 EILEEN DR</t>
  </si>
  <si>
    <t>C -19-04-376-010</t>
  </si>
  <si>
    <t>440 EILEEN DR</t>
  </si>
  <si>
    <t>C -19-04-376-019</t>
  </si>
  <si>
    <t>354 EILEEN DR</t>
  </si>
  <si>
    <t>C -19-04-377-009</t>
  </si>
  <si>
    <t>333 EILEEN DR</t>
  </si>
  <si>
    <t>C -19-04-377-016</t>
  </si>
  <si>
    <t>370 KENDRY</t>
  </si>
  <si>
    <t>C -19-04-378-007</t>
  </si>
  <si>
    <t>399 KENDRY</t>
  </si>
  <si>
    <t>C -19-04-451-009</t>
  </si>
  <si>
    <t>303 KENDRY</t>
  </si>
  <si>
    <t>C -19-04-451-010</t>
  </si>
  <si>
    <t>307 KENDRY</t>
  </si>
  <si>
    <t>C -19-04-451-011</t>
  </si>
  <si>
    <t>311 KENDRY</t>
  </si>
  <si>
    <t>C -19-04-451-018</t>
  </si>
  <si>
    <t>2470 EMERSON AVE</t>
  </si>
  <si>
    <t>C -19-04-477-001</t>
  </si>
  <si>
    <t>2479 EMERSON AVE</t>
  </si>
  <si>
    <t>C -19-04-477-012</t>
  </si>
  <si>
    <t>2434 PARCELLS CIR</t>
  </si>
  <si>
    <t>C -19-04-477-023</t>
  </si>
  <si>
    <t>2397 PARCELLS CIR</t>
  </si>
  <si>
    <t>C -19-04-477-045</t>
  </si>
  <si>
    <t>2400 BRATTON AVE</t>
  </si>
  <si>
    <t>C -19-04-477-049</t>
  </si>
  <si>
    <t>2462 BRATTON AVE</t>
  </si>
  <si>
    <t>C -19-04-402-004</t>
  </si>
  <si>
    <t>180 S BERKSHIRE RD</t>
  </si>
  <si>
    <t>Land Table 04110</t>
  </si>
  <si>
    <t>C -19-04-428-004</t>
  </si>
  <si>
    <t>30 S BERKSHIRE RD</t>
  </si>
  <si>
    <t>C -19-04-401-012</t>
  </si>
  <si>
    <t>63 HIGHLAND DR</t>
  </si>
  <si>
    <t>Land Table 04120</t>
  </si>
  <si>
    <t>C -19-05-351-047</t>
  </si>
  <si>
    <t>2354 HERONWOOD DR</t>
  </si>
  <si>
    <t>Land Table 05100</t>
  </si>
  <si>
    <t>C -19-05-351-055</t>
  </si>
  <si>
    <t>2353 HERONWOOD DR</t>
  </si>
  <si>
    <t>C -19-05-351-056</t>
  </si>
  <si>
    <t>2361 HERONWOOD DR</t>
  </si>
  <si>
    <t>C -19-06-107-005</t>
  </si>
  <si>
    <t>1865 ORCHARD LAKE RD</t>
  </si>
  <si>
    <t>Land Table 06100</t>
  </si>
  <si>
    <t>C -19-06-109-001</t>
  </si>
  <si>
    <t>1213 DESIAX AVE</t>
  </si>
  <si>
    <t>C -19-06-134-001</t>
  </si>
  <si>
    <t>1255 DORCHESTER AVE</t>
  </si>
  <si>
    <t>C -19-06-136-004</t>
  </si>
  <si>
    <t>1655 ROCKWELL AVE</t>
  </si>
  <si>
    <t>C -19-06-252-010</t>
  </si>
  <si>
    <t>1160 KEMPER AVE</t>
  </si>
  <si>
    <t>C -19-06-152-006</t>
  </si>
  <si>
    <t>1990 LAKEWARD LN</t>
  </si>
  <si>
    <t>Land Table 06120</t>
  </si>
  <si>
    <t>C -19-06-156-001</t>
  </si>
  <si>
    <t>1901 KEMP RD</t>
  </si>
  <si>
    <t>C -19-06-302-008</t>
  </si>
  <si>
    <t>2315 E HAMMOND LAKE DR</t>
  </si>
  <si>
    <t>C -19-06-302-013</t>
  </si>
  <si>
    <t>2401 E HAMMOND LAKE DR</t>
  </si>
  <si>
    <t>C -19-06-351-002</t>
  </si>
  <si>
    <t>1975 S HAMMOND LAKE DR</t>
  </si>
  <si>
    <t>C -19-06-326-033</t>
  </si>
  <si>
    <t>2025 DELL ROSE DR</t>
  </si>
  <si>
    <t>Land Table 06130</t>
  </si>
  <si>
    <t>C -19-06-326-046</t>
  </si>
  <si>
    <t>1964 BLOOMFIELD DR</t>
  </si>
  <si>
    <t>C -19-06-328-008</t>
  </si>
  <si>
    <t>1966 DELL ROSE DR</t>
  </si>
  <si>
    <t>C -19-06-379-002</t>
  </si>
  <si>
    <t>1890 W SQUARE LAKE RD</t>
  </si>
  <si>
    <t>C -19-06-451-059</t>
  </si>
  <si>
    <t/>
  </si>
  <si>
    <t>C -19-06-476-026</t>
  </si>
  <si>
    <t>2322 CHERRYLAWN AVE</t>
  </si>
  <si>
    <t>C -19-06-479-052</t>
  </si>
  <si>
    <t>2330 KLINGENSMITH RD</t>
  </si>
  <si>
    <t>C -19-06-479-053</t>
  </si>
  <si>
    <t>2360 KLINGENSMITH RD</t>
  </si>
  <si>
    <t>C -19-06-177-001</t>
  </si>
  <si>
    <t>1785 WARD RD</t>
  </si>
  <si>
    <t>Land Table 06132</t>
  </si>
  <si>
    <t>C -19-06-177-002</t>
  </si>
  <si>
    <t>1787 WARD RD</t>
  </si>
  <si>
    <t>C -19-06-326-050</t>
  </si>
  <si>
    <t>1923 BLOOMFIELD DR</t>
  </si>
  <si>
    <t>C -19-06-301-002</t>
  </si>
  <si>
    <t>2220 E HAMMOND LAKE DR</t>
  </si>
  <si>
    <t>Land Table 06140</t>
  </si>
  <si>
    <t>C -19-06-301-005</t>
  </si>
  <si>
    <t>2250 E HAMMOND LAKE DR</t>
  </si>
  <si>
    <t>C -19-06-301-028</t>
  </si>
  <si>
    <t>1940 S HAMMOND LAKE DR</t>
  </si>
  <si>
    <t>C -19-06-327-010</t>
  </si>
  <si>
    <t>1825 DELL ROSE DR</t>
  </si>
  <si>
    <t>C -19-06-401-026</t>
  </si>
  <si>
    <t>1642 HAMILTON DR</t>
  </si>
  <si>
    <t>C -19-06-401-028</t>
  </si>
  <si>
    <t>1774 MAPLEWOOD AVE</t>
  </si>
  <si>
    <t>C -19-06-277-015</t>
  </si>
  <si>
    <t>1966 KLINGENSMITH RD UNIT 15</t>
  </si>
  <si>
    <t>Land Table 06200</t>
  </si>
  <si>
    <t>C -19-06-277-027</t>
  </si>
  <si>
    <t>1958 KLINGENSMITH RD UNIT 27</t>
  </si>
  <si>
    <t>C -19-06-277-029</t>
  </si>
  <si>
    <t>1958 KLINGENSMITH RD UNIT 29</t>
  </si>
  <si>
    <t>C -19-06-277-041</t>
  </si>
  <si>
    <t>1944 KLINGENSMITH RD UNIT 41</t>
  </si>
  <si>
    <t>C -19-06-277-044</t>
  </si>
  <si>
    <t>1940 KLINGENSMITH RD UNIT 44</t>
  </si>
  <si>
    <t>C -19-06-277-068</t>
  </si>
  <si>
    <t>1924 KLINGENSMITH RD UNIT 68</t>
  </si>
  <si>
    <t>C -19-06-276-006</t>
  </si>
  <si>
    <t>1969 KLINGENSMITH RD APT 13</t>
  </si>
  <si>
    <t>Land Table 06210</t>
  </si>
  <si>
    <t>C -19-06-276-015</t>
  </si>
  <si>
    <t>1975 KLINGENSMITH RD APT 22</t>
  </si>
  <si>
    <t>C -19-06-276-019</t>
  </si>
  <si>
    <t>1975 KLINGENSMITH RD APT 26</t>
  </si>
  <si>
    <t>C -19-06-276-022</t>
  </si>
  <si>
    <t>1983 KLINGENSMITH RD APT 33</t>
  </si>
  <si>
    <t>C -19-06-276-046</t>
  </si>
  <si>
    <t>2005 KLINGENSMITH RD APT 61</t>
  </si>
  <si>
    <t>C -19-06-276-056</t>
  </si>
  <si>
    <t>2015 KLINGENSMITH RD APT 71</t>
  </si>
  <si>
    <t>C -19-06-276-057</t>
  </si>
  <si>
    <t>2015 KLINGENSMITH RD APT 77</t>
  </si>
  <si>
    <t>C -19-06-276-058</t>
  </si>
  <si>
    <t>2015 KLINGENSMITH RD APT 78</t>
  </si>
  <si>
    <t>C -19-06-276-066</t>
  </si>
  <si>
    <t>2021 KLINGENSMITH RD APT 87</t>
  </si>
  <si>
    <t>C -19-06-276-073</t>
  </si>
  <si>
    <t>2027 KLINGENSMITH RD APT 102</t>
  </si>
  <si>
    <t>C -19-06-276-078</t>
  </si>
  <si>
    <t>2027 KLINGENSMITH RD APT 105</t>
  </si>
  <si>
    <t>C -19-07-127-003</t>
  </si>
  <si>
    <t>1909 MARIE CIR</t>
  </si>
  <si>
    <t>Land Table 07100</t>
  </si>
  <si>
    <t>C -19-07-128-003</t>
  </si>
  <si>
    <t>2681 MCCLINTOCK RD</t>
  </si>
  <si>
    <t>C -19-07-351-002</t>
  </si>
  <si>
    <t>1960 W BEND CT</t>
  </si>
  <si>
    <t>Land Table 07112</t>
  </si>
  <si>
    <t>C -19-07-351-003</t>
  </si>
  <si>
    <t>1904 SHORE HILL DR</t>
  </si>
  <si>
    <t>C -19-07-352-005</t>
  </si>
  <si>
    <t>1920 SHORE HILL DR</t>
  </si>
  <si>
    <t>C -19-07-353-007</t>
  </si>
  <si>
    <t>1896 W BEND DR</t>
  </si>
  <si>
    <t>C -19-07-353-009</t>
  </si>
  <si>
    <t>1872 W BEND DR</t>
  </si>
  <si>
    <t>C -19-07-354-002</t>
  </si>
  <si>
    <t>1881 W BEND DR</t>
  </si>
  <si>
    <t>C -19-07-378-001</t>
  </si>
  <si>
    <t>1725 LONG LAKE SHORE DR</t>
  </si>
  <si>
    <t>Land Table 07120</t>
  </si>
  <si>
    <t>C -19-18-180-004</t>
  </si>
  <si>
    <t>3840 MANCHESTER CT</t>
  </si>
  <si>
    <t>C -19-18-251-006</t>
  </si>
  <si>
    <t>3816 COLUMBIA DR</t>
  </si>
  <si>
    <t>C -19-07-129-007</t>
  </si>
  <si>
    <t>2767 TURTLE LAKE DR</t>
  </si>
  <si>
    <t>Land Table 07129</t>
  </si>
  <si>
    <t>C -19-07-401-010</t>
  </si>
  <si>
    <t>1729 HERON RIDGE DR</t>
  </si>
  <si>
    <t>C -19-07-202-005</t>
  </si>
  <si>
    <t>2709 TURTLE RIDGE DR</t>
  </si>
  <si>
    <t>Land Table 07130</t>
  </si>
  <si>
    <t>QC</t>
  </si>
  <si>
    <t>C -19-07-202-011</t>
  </si>
  <si>
    <t>2718 TURTLE LAKE DR</t>
  </si>
  <si>
    <t>C -19-07-229-006</t>
  </si>
  <si>
    <t>2974 TURTLE POND CT</t>
  </si>
  <si>
    <t>Land Table 07131</t>
  </si>
  <si>
    <t>C -19-07-229-009</t>
  </si>
  <si>
    <t>C -19-07-251-007</t>
  </si>
  <si>
    <t>1779 HERON RIDGE DR</t>
  </si>
  <si>
    <t>C -19-07-251-008</t>
  </si>
  <si>
    <t>1881 HERON RIDGE DR</t>
  </si>
  <si>
    <t>C -19-07-251-010</t>
  </si>
  <si>
    <t>1891 HERON RIDGE DR</t>
  </si>
  <si>
    <t>C -19-07-252-001</t>
  </si>
  <si>
    <t>1772 HERON RIDGE DR</t>
  </si>
  <si>
    <t>C -19-07-401-017</t>
  </si>
  <si>
    <t>1708 HERON RIDGE DR</t>
  </si>
  <si>
    <t>C -19-07-401-023</t>
  </si>
  <si>
    <t>1744 HERON RIDGE DR</t>
  </si>
  <si>
    <t>C -19-08-103-004</t>
  </si>
  <si>
    <t>2817 TURTLE GROVE CT</t>
  </si>
  <si>
    <t>Land Table 07133</t>
  </si>
  <si>
    <t>C -19-07-380-004</t>
  </si>
  <si>
    <t>3727 WABEEK LAKE DR W</t>
  </si>
  <si>
    <t>Land Table 07200</t>
  </si>
  <si>
    <t>C -19-07-380-010</t>
  </si>
  <si>
    <t>3628 PHEASANT RUN</t>
  </si>
  <si>
    <t>C -19-07-380-011</t>
  </si>
  <si>
    <t>3632 PHEASANT RUN</t>
  </si>
  <si>
    <t>C -19-07-382-002</t>
  </si>
  <si>
    <t>3635 WABEEK LAKE DR W</t>
  </si>
  <si>
    <t>C -19-07-382-003</t>
  </si>
  <si>
    <t>3639 WABEEK LAKE DR W</t>
  </si>
  <si>
    <t>C -19-07-382-004</t>
  </si>
  <si>
    <t>3669 QUAIL HOLLOW DR</t>
  </si>
  <si>
    <t>C -19-07-382-005</t>
  </si>
  <si>
    <t>3665 QUAIL HOLLOW DR</t>
  </si>
  <si>
    <t>C -19-07-452-004</t>
  </si>
  <si>
    <t>3595 WABEEK LAKE DR W</t>
  </si>
  <si>
    <t>C -19-07-452-005</t>
  </si>
  <si>
    <t>3591 WABEEK LAKE DR W</t>
  </si>
  <si>
    <t>C -19-07-452-006</t>
  </si>
  <si>
    <t>3579 WABEEK LAKE DR W</t>
  </si>
  <si>
    <t>C -19-07-452-016</t>
  </si>
  <si>
    <t>3661 QUAIL HOLLOW DR</t>
  </si>
  <si>
    <t>C -19-18-126-008</t>
  </si>
  <si>
    <t>3658 PHEASANT RUN</t>
  </si>
  <si>
    <t>C -19-18-201-026</t>
  </si>
  <si>
    <t>1752 ALEXANDER DR</t>
  </si>
  <si>
    <t>Land Table 07210</t>
  </si>
  <si>
    <t>C -19-18-201-061</t>
  </si>
  <si>
    <t>1776 ALEXANDER DR</t>
  </si>
  <si>
    <t>C -19-18-204-007</t>
  </si>
  <si>
    <t>3866 WABEEK LAKE DR E</t>
  </si>
  <si>
    <t>C -19-18-204-008</t>
  </si>
  <si>
    <t>3878 WABEEK LAKE DR E</t>
  </si>
  <si>
    <t>C -19-08-203-017</t>
  </si>
  <si>
    <t>2645 HICKORY CT</t>
  </si>
  <si>
    <t>Land Table 08100</t>
  </si>
  <si>
    <t>C -19-08-227-018</t>
  </si>
  <si>
    <t>1211 RUGBY CIR</t>
  </si>
  <si>
    <t>C -19-08-251-002</t>
  </si>
  <si>
    <t>2645 AYRSHIRE DR</t>
  </si>
  <si>
    <t>C -19-08-276-011</t>
  </si>
  <si>
    <t>2905 W HICKORY GROVE RD</t>
  </si>
  <si>
    <t>C -19-08-252-004</t>
  </si>
  <si>
    <t>2775 AYRSHIRE DR</t>
  </si>
  <si>
    <t>Land Table 08110</t>
  </si>
  <si>
    <t>C -19-08-252-011</t>
  </si>
  <si>
    <t>2760 MACKINTOSH LN</t>
  </si>
  <si>
    <t>C -19-08-401-003</t>
  </si>
  <si>
    <t>1280 CIRCLE CT</t>
  </si>
  <si>
    <t>C -19-08-401-005</t>
  </si>
  <si>
    <t>1292 CIRCLE CT</t>
  </si>
  <si>
    <t>C -19-08-426-004</t>
  </si>
  <si>
    <t>2904 W HICKORY GROVE RD</t>
  </si>
  <si>
    <t>C -19-08-426-017</t>
  </si>
  <si>
    <t>1226 CEDARHOLM LN</t>
  </si>
  <si>
    <t>C -19-08-151-007</t>
  </si>
  <si>
    <t>1471 CLUB DR</t>
  </si>
  <si>
    <t>Land Table 08120</t>
  </si>
  <si>
    <t>C -19-08-151-042</t>
  </si>
  <si>
    <t>3030 HERON PL</t>
  </si>
  <si>
    <t>C -19-08-301-011</t>
  </si>
  <si>
    <t>1351 CLUB DR</t>
  </si>
  <si>
    <t>C -19-07-476-011</t>
  </si>
  <si>
    <t>1612 APPLE LN</t>
  </si>
  <si>
    <t>Land Table 08130</t>
  </si>
  <si>
    <t>C -19-08-451-011</t>
  </si>
  <si>
    <t>1267 CLUB DR</t>
  </si>
  <si>
    <t>C -19-17-276-001</t>
  </si>
  <si>
    <t>3530 FRANKLIN RD</t>
  </si>
  <si>
    <t>C -19-17-276-016</t>
  </si>
  <si>
    <t>C -19-17-276-041</t>
  </si>
  <si>
    <t>C -19-07-477-002</t>
  </si>
  <si>
    <t>1635 APPLE LN</t>
  </si>
  <si>
    <t>Land Table 08135</t>
  </si>
  <si>
    <t>C -19-07-477-003</t>
  </si>
  <si>
    <t>1631 APPLE LN</t>
  </si>
  <si>
    <t>C -19-07-478-005</t>
  </si>
  <si>
    <t>3465 BLOSSOM LN</t>
  </si>
  <si>
    <t>C -19-18-280-004</t>
  </si>
  <si>
    <t>3897 LAKELAND LN</t>
  </si>
  <si>
    <t>Land Table 08140</t>
  </si>
  <si>
    <t>C -19-18-276-006</t>
  </si>
  <si>
    <t>1675 KIRKWAY LN</t>
  </si>
  <si>
    <t>Land Table 08145</t>
  </si>
  <si>
    <t>C -19-08-276-019</t>
  </si>
  <si>
    <t>2822 BIRCHWOOD CT</t>
  </si>
  <si>
    <t>Land Table 08200</t>
  </si>
  <si>
    <t>C -19-08-276-032</t>
  </si>
  <si>
    <t>2729 GLENBROOKE CT</t>
  </si>
  <si>
    <t>C -19-09-151-003</t>
  </si>
  <si>
    <t>2851 FRANKLIN RD</t>
  </si>
  <si>
    <t>Land Table 09100</t>
  </si>
  <si>
    <t>C -19-09-152-003</t>
  </si>
  <si>
    <t>1055 FRANKEL LN</t>
  </si>
  <si>
    <t>C -19-09-153-006</t>
  </si>
  <si>
    <t>2812 S TELEGRAPH RD</t>
  </si>
  <si>
    <t>C -19-09-153-020</t>
  </si>
  <si>
    <t>2861 ACORN RD</t>
  </si>
  <si>
    <t>C -19-09-153-024</t>
  </si>
  <si>
    <t>2971 ACORN RD</t>
  </si>
  <si>
    <t>C -19-09-126-005</t>
  </si>
  <si>
    <t>2557 ASPEN LN</t>
  </si>
  <si>
    <t>Land Table 09110</t>
  </si>
  <si>
    <t>C -19-09-126-009</t>
  </si>
  <si>
    <t>2605 PAMELA CT</t>
  </si>
  <si>
    <t>C -19-09-126-010</t>
  </si>
  <si>
    <t>2617 PAMELA CT</t>
  </si>
  <si>
    <t>C -19-09-126-013</t>
  </si>
  <si>
    <t>2510 YORKSHIRE LN</t>
  </si>
  <si>
    <t>C -19-09-127-007</t>
  </si>
  <si>
    <t>2583 RAMBLING WAY</t>
  </si>
  <si>
    <t>C -19-09-127-008</t>
  </si>
  <si>
    <t>2569 RAMBLING WAY</t>
  </si>
  <si>
    <t>C -19-09-129-009</t>
  </si>
  <si>
    <t>432 WILSHIRE DR</t>
  </si>
  <si>
    <t>C -19-09-176-009</t>
  </si>
  <si>
    <t>2826 ROSSMOOR CIR</t>
  </si>
  <si>
    <t>C -19-09-179-002</t>
  </si>
  <si>
    <t>529 WILSHIRE DR</t>
  </si>
  <si>
    <t>C -19-09-180-012</t>
  </si>
  <si>
    <t>2941 COURVILLE DR</t>
  </si>
  <si>
    <t>C -19-09-201-017</t>
  </si>
  <si>
    <t>350 SYCAMORE CT</t>
  </si>
  <si>
    <t>Land Table 09120</t>
  </si>
  <si>
    <t>C -19-09-201-028</t>
  </si>
  <si>
    <t>306 VAILWOOD CT</t>
  </si>
  <si>
    <t>C -19-09-202-024</t>
  </si>
  <si>
    <t>2903 CHESTNUT RUN DR</t>
  </si>
  <si>
    <t>C -19-09-204-004</t>
  </si>
  <si>
    <t>2846 MEADOWOOD LN</t>
  </si>
  <si>
    <t>C -19-09-204-007</t>
  </si>
  <si>
    <t>2870 MEADOWOOD LN</t>
  </si>
  <si>
    <t>C -19-09-204-008</t>
  </si>
  <si>
    <t>2878 MEADOWOOD LN</t>
  </si>
  <si>
    <t>C -19-09-401-004</t>
  </si>
  <si>
    <t>350 STONERIDGE LN</t>
  </si>
  <si>
    <t>C -19-09-401-009</t>
  </si>
  <si>
    <t>470 STONERIDGE LN</t>
  </si>
  <si>
    <t>C -19-09-401-013</t>
  </si>
  <si>
    <t>465 STONERIDGE LN</t>
  </si>
  <si>
    <t>C -19-09-276-002</t>
  </si>
  <si>
    <t>272 APPLEWOOD LN</t>
  </si>
  <si>
    <t>Land Table 09122</t>
  </si>
  <si>
    <t>C -19-09-276-004</t>
  </si>
  <si>
    <t>240 APPLEWOOD LN</t>
  </si>
  <si>
    <t>C -19-09-277-001</t>
  </si>
  <si>
    <t>375 APPLEWOOD LN</t>
  </si>
  <si>
    <t>C -19-09-400-008</t>
  </si>
  <si>
    <t>232 ORANGE LAKE DR</t>
  </si>
  <si>
    <t>Land Table 09124</t>
  </si>
  <si>
    <t>C -19-09-400-023</t>
  </si>
  <si>
    <t>270 ORANGE LAKE DR</t>
  </si>
  <si>
    <t>C -19-09-400-019</t>
  </si>
  <si>
    <t>3559 BROOKSIDE DR</t>
  </si>
  <si>
    <t>Land Table 09130</t>
  </si>
  <si>
    <t>C -19-09-402-009</t>
  </si>
  <si>
    <t>3225 CHESTNUT RUN DR</t>
  </si>
  <si>
    <t>C -19-09-230-006</t>
  </si>
  <si>
    <t>80 DEVON RD</t>
  </si>
  <si>
    <t>Land Table 09140</t>
  </si>
  <si>
    <t>C -19-09-376-001</t>
  </si>
  <si>
    <t>3332 BARLYN LN</t>
  </si>
  <si>
    <t>Land Table 09150</t>
  </si>
  <si>
    <t>C -19-09-426-012</t>
  </si>
  <si>
    <t>249 NORCLIFF DR</t>
  </si>
  <si>
    <t>Land Table 09160</t>
  </si>
  <si>
    <t>C -19-09-352-010</t>
  </si>
  <si>
    <t>1139 PARK PLACE CT</t>
  </si>
  <si>
    <t>Land Table 09170</t>
  </si>
  <si>
    <t>C -19-09-353-005</t>
  </si>
  <si>
    <t>1048 GLENWOOD CT</t>
  </si>
  <si>
    <t>C -19-09-353-008</t>
  </si>
  <si>
    <t>1071 PARK PLACE CT</t>
  </si>
  <si>
    <t>C -19-16-102-007</t>
  </si>
  <si>
    <t>1055 GLENWOOD CT</t>
  </si>
  <si>
    <t>C -19-16-102-009</t>
  </si>
  <si>
    <t>1035 GLENWOOD CT</t>
  </si>
  <si>
    <t>C -19-09-301-002</t>
  </si>
  <si>
    <t>3115 FRANKLIN RD</t>
  </si>
  <si>
    <t>Land Table 09180</t>
  </si>
  <si>
    <t>C -19-09-301-012</t>
  </si>
  <si>
    <t>3433 FRANKLIN RD</t>
  </si>
  <si>
    <t>C -19-09-301-047</t>
  </si>
  <si>
    <t>3017 FRANKLIN RD</t>
  </si>
  <si>
    <t>C -19-09-301-033</t>
  </si>
  <si>
    <t>3029 E RIDGE CT</t>
  </si>
  <si>
    <t>Land Table 09200</t>
  </si>
  <si>
    <t>C -19-09-301-046</t>
  </si>
  <si>
    <t>3018 W RIDGE CT</t>
  </si>
  <si>
    <t>C -19-09-278-004</t>
  </si>
  <si>
    <t>180 TIMBER TRACE LN</t>
  </si>
  <si>
    <t>Land Table 09210</t>
  </si>
  <si>
    <t>C -19-09-278-019</t>
  </si>
  <si>
    <t>187 TIMBER TRACE LN</t>
  </si>
  <si>
    <t>C -19-09-278-023</t>
  </si>
  <si>
    <t>179 TIMBER TRACE LN</t>
  </si>
  <si>
    <t>C -19-09-278-026</t>
  </si>
  <si>
    <t>285 WILSHIRE DR</t>
  </si>
  <si>
    <t>C -19-09-278-029</t>
  </si>
  <si>
    <t>197 TIMBER TRACE LN</t>
  </si>
  <si>
    <t>C -19-09-278-034</t>
  </si>
  <si>
    <t>162 TIMBER TRACE LN</t>
  </si>
  <si>
    <t>C -19-09-278-036</t>
  </si>
  <si>
    <t>158 TIMBER TRACE LN</t>
  </si>
  <si>
    <t>C -19-09-278-040</t>
  </si>
  <si>
    <t>202 TIMBER TRACE LN</t>
  </si>
  <si>
    <t>C -19-10-151-010</t>
  </si>
  <si>
    <t>2845 LAHSER RD</t>
  </si>
  <si>
    <t>Land Table 10100</t>
  </si>
  <si>
    <t>C -19-10-151-016</t>
  </si>
  <si>
    <t>2985 LAHSER RD</t>
  </si>
  <si>
    <t>C -19-10-151-028</t>
  </si>
  <si>
    <t>2700 COLONIAL WAY</t>
  </si>
  <si>
    <t>C -19-10-152-004</t>
  </si>
  <si>
    <t>2769 COLONIAL WAY</t>
  </si>
  <si>
    <t>C -19-10-152-010</t>
  </si>
  <si>
    <t>2867 COLONIAL WAY</t>
  </si>
  <si>
    <t>C -19-10-126-001</t>
  </si>
  <si>
    <t>60 E SQUARE LAKE RD</t>
  </si>
  <si>
    <t>Land Table 10110</t>
  </si>
  <si>
    <t>C -19-10-126-010</t>
  </si>
  <si>
    <t>91 DOUGLAS DR</t>
  </si>
  <si>
    <t>C -19-10-127-002</t>
  </si>
  <si>
    <t>130 E SQUARE LAKE RD</t>
  </si>
  <si>
    <t>C -19-10-127-007</t>
  </si>
  <si>
    <t>141 DOUGLAS DR</t>
  </si>
  <si>
    <t>C -19-10-131-003</t>
  </si>
  <si>
    <t>2639 BERRY DR</t>
  </si>
  <si>
    <t>C -19-10-132-008</t>
  </si>
  <si>
    <t>2640 BRIDLE RD</t>
  </si>
  <si>
    <t>C -19-10-134-010</t>
  </si>
  <si>
    <t>2738 BERRY DR</t>
  </si>
  <si>
    <t>C -19-10-136-007</t>
  </si>
  <si>
    <t>2720 BRIDLE RD</t>
  </si>
  <si>
    <t>C -19-10-136-010</t>
  </si>
  <si>
    <t>2762 BRIDLE RD</t>
  </si>
  <si>
    <t>C -19-10-202-003</t>
  </si>
  <si>
    <t>2641 BRIDLE RD</t>
  </si>
  <si>
    <t>C -19-10-202-008</t>
  </si>
  <si>
    <t>2622 BRADY DR</t>
  </si>
  <si>
    <t>C -19-10-203-004</t>
  </si>
  <si>
    <t>2657 BRADY DR</t>
  </si>
  <si>
    <t>C -19-10-203-016</t>
  </si>
  <si>
    <t>322 DOUGLAS DR</t>
  </si>
  <si>
    <t>C -19-10-203-021</t>
  </si>
  <si>
    <t>2668 DOUGLAS DR</t>
  </si>
  <si>
    <t>C -19-10-204-001</t>
  </si>
  <si>
    <t>2709 BRADY DR</t>
  </si>
  <si>
    <t>C -19-10-204-007</t>
  </si>
  <si>
    <t>2727 BRADY DR</t>
  </si>
  <si>
    <t>C -19-10-204-011</t>
  </si>
  <si>
    <t>2769 BRADY DR</t>
  </si>
  <si>
    <t>C -19-10-205-011</t>
  </si>
  <si>
    <t>2756 BRADY DR</t>
  </si>
  <si>
    <t>C -19-10-205-014</t>
  </si>
  <si>
    <t>2774 BRADY DR</t>
  </si>
  <si>
    <t>C -19-10-226-005</t>
  </si>
  <si>
    <t>2697 KOPSON CT</t>
  </si>
  <si>
    <t>C -19-10-226-012</t>
  </si>
  <si>
    <t>2632 KOPSON CT</t>
  </si>
  <si>
    <t>C -19-10-226-018</t>
  </si>
  <si>
    <t>2742 PLUM BROOK DR</t>
  </si>
  <si>
    <t>C -19-10-227-005</t>
  </si>
  <si>
    <t>2689 PLUM BROOK DR</t>
  </si>
  <si>
    <t>C -19-10-251-006</t>
  </si>
  <si>
    <t>160 WOODEDGE DR</t>
  </si>
  <si>
    <t>C -19-10-276-028</t>
  </si>
  <si>
    <t>253 WOODEDGE DR</t>
  </si>
  <si>
    <t>C -19-10-279-001</t>
  </si>
  <si>
    <t>316 WOODEDGE DR</t>
  </si>
  <si>
    <t>C -19-10-133-005</t>
  </si>
  <si>
    <t>42266 WOODWARD AVE # C-2</t>
  </si>
  <si>
    <t>Land Table 10200</t>
  </si>
  <si>
    <t>C -19-10-133-007</t>
  </si>
  <si>
    <t>42282 WOODWARD AVE # D-2</t>
  </si>
  <si>
    <t>C -19-10-133-019</t>
  </si>
  <si>
    <t>42472 WOODWARD AVE # D-2</t>
  </si>
  <si>
    <t>C -19-10-133-020</t>
  </si>
  <si>
    <t>42472 WOODWARD AVE # A-1</t>
  </si>
  <si>
    <t>C -19-10-133-023</t>
  </si>
  <si>
    <t>42478 WOODWARD AVE # D-2</t>
  </si>
  <si>
    <t>C -19-10-178-004</t>
  </si>
  <si>
    <t>42160 WOODWARD AVE UNIT 4</t>
  </si>
  <si>
    <t>C -19-10-178-008</t>
  </si>
  <si>
    <t>42160 WOODWARD AVE UNIT 8</t>
  </si>
  <si>
    <t>C -19-10-178-019</t>
  </si>
  <si>
    <t>42160 WOODWARD AVE UNIT 19</t>
  </si>
  <si>
    <t>C -19-10-178-021</t>
  </si>
  <si>
    <t>42160 WOODWARD AVE UNIT 21</t>
  </si>
  <si>
    <t>C -19-10-178-054</t>
  </si>
  <si>
    <t>42160 WOODWARD AVE UNIT 54</t>
  </si>
  <si>
    <t>C -19-10-178-057</t>
  </si>
  <si>
    <t>42160 WOODWARD AVE UNIT 57</t>
  </si>
  <si>
    <t>C -19-10-178-061</t>
  </si>
  <si>
    <t>42160 WOODWARD AVE UNIT 61</t>
  </si>
  <si>
    <t>C -19-10-178-070</t>
  </si>
  <si>
    <t>42160 WOODWARD AVE UNIT 70</t>
  </si>
  <si>
    <t>C -19-10-178-072</t>
  </si>
  <si>
    <t>42160 WOODWARD AVE UNIT 72</t>
  </si>
  <si>
    <t>C -19-10-178-074</t>
  </si>
  <si>
    <t>42160 WOODWARD AVE UNIT 74</t>
  </si>
  <si>
    <t>C -19-10-178-084</t>
  </si>
  <si>
    <t>42160 WOODWARD AVE UNIT 84</t>
  </si>
  <si>
    <t>C -19-10-176-018</t>
  </si>
  <si>
    <t>100 W HICKORY GROVE RD # A-2</t>
  </si>
  <si>
    <t>Land Table 10210</t>
  </si>
  <si>
    <t>C -19-10-176-021</t>
  </si>
  <si>
    <t>100 W HICKORY GROVE RD # A-5</t>
  </si>
  <si>
    <t>C -19-10-176-036</t>
  </si>
  <si>
    <t>100 W HICKORY GROVE RD # C-4</t>
  </si>
  <si>
    <t>C -19-10-176-041</t>
  </si>
  <si>
    <t>100 W HICKORY GROVE RD # D-1</t>
  </si>
  <si>
    <t>C -19-10-176-044</t>
  </si>
  <si>
    <t>100 W HICKORY GROVE RD # D-4</t>
  </si>
  <si>
    <t>C -19-10-176-048</t>
  </si>
  <si>
    <t>100 W HICKORY GROVE RD # D-8</t>
  </si>
  <si>
    <t>C -19-10-176-049</t>
  </si>
  <si>
    <t>100 W HICKORY GROVE RD # E-1</t>
  </si>
  <si>
    <t>C -19-10-176-050</t>
  </si>
  <si>
    <t>100 W HICKORY GROVE RD # E-2</t>
  </si>
  <si>
    <t>C -19-10-176-089</t>
  </si>
  <si>
    <t>42377 WOODWARD AVE # J-1</t>
  </si>
  <si>
    <t>C -19-10-176-093</t>
  </si>
  <si>
    <t>42353 WOODWARD AVE # J-5</t>
  </si>
  <si>
    <t>C -19-10-226-027</t>
  </si>
  <si>
    <t>390 CONCORD PL</t>
  </si>
  <si>
    <t>Land Table 10220</t>
  </si>
  <si>
    <t>C -19-10-226-039</t>
  </si>
  <si>
    <t>376 CONCORD PL APT 4</t>
  </si>
  <si>
    <t>C -19-10-226-044</t>
  </si>
  <si>
    <t>366 CONCORD PL APT 2</t>
  </si>
  <si>
    <t>C -19-10-226-055</t>
  </si>
  <si>
    <t>340 CONCORD PL APT 1</t>
  </si>
  <si>
    <t>C -19-10-226-066</t>
  </si>
  <si>
    <t>339 CONCORD PL APT 3</t>
  </si>
  <si>
    <t>C -19-10-226-074</t>
  </si>
  <si>
    <t>359 CONCORD PL APT 3</t>
  </si>
  <si>
    <t>C -19-10-226-077</t>
  </si>
  <si>
    <t>369 CONCORD PL APT 4</t>
  </si>
  <si>
    <t>C -19-10-226-080</t>
  </si>
  <si>
    <t>373 CONCORD PL</t>
  </si>
  <si>
    <t>C -19-10-226-084</t>
  </si>
  <si>
    <t>385 CONCORD PL</t>
  </si>
  <si>
    <t>C -19-11-102-004</t>
  </si>
  <si>
    <t>2565 ALVESTON DR</t>
  </si>
  <si>
    <t>Land Table 11100</t>
  </si>
  <si>
    <t>C -19-11-103-002</t>
  </si>
  <si>
    <t>408 HENLEY DR</t>
  </si>
  <si>
    <t>C -19-11-104-011</t>
  </si>
  <si>
    <t>2643 WARWICK DR</t>
  </si>
  <si>
    <t>C -19-11-104-019</t>
  </si>
  <si>
    <t>2747 WARWICK DR</t>
  </si>
  <si>
    <t>C -19-11-104-021</t>
  </si>
  <si>
    <t>2727 WARWICK DR</t>
  </si>
  <si>
    <t>C -19-11-126-002</t>
  </si>
  <si>
    <t>567 REYNARD CT</t>
  </si>
  <si>
    <t>Land Table 11110</t>
  </si>
  <si>
    <t>C -19-11-127-008</t>
  </si>
  <si>
    <t>621 FOXHALL RD</t>
  </si>
  <si>
    <t>C -19-11-128-002</t>
  </si>
  <si>
    <t>566 REYNARD CT</t>
  </si>
  <si>
    <t>C -19-11-128-017</t>
  </si>
  <si>
    <t>2611 HUNTERS BLF</t>
  </si>
  <si>
    <t>C -19-11-128-033</t>
  </si>
  <si>
    <t>436 FIVE GAITS CT</t>
  </si>
  <si>
    <t>C -19-11-129-021</t>
  </si>
  <si>
    <t>2795 BLOOMFIELD XING</t>
  </si>
  <si>
    <t>C -19-11-176-022</t>
  </si>
  <si>
    <t>614 SORREL CT E</t>
  </si>
  <si>
    <t>C -19-11-177-008</t>
  </si>
  <si>
    <t>3228 TWIN POND CT</t>
  </si>
  <si>
    <t>C -19-11-178-016</t>
  </si>
  <si>
    <t>3075 WOODCREEK WAY</t>
  </si>
  <si>
    <t>C -19-11-201-013</t>
  </si>
  <si>
    <t>723 FOXHALL RD</t>
  </si>
  <si>
    <t>C -19-11-203-003</t>
  </si>
  <si>
    <t>2759 HUNTERS WAY</t>
  </si>
  <si>
    <t>C -19-11-227-023</t>
  </si>
  <si>
    <t>770 FOXHALL RD</t>
  </si>
  <si>
    <t>C -19-11-252-001</t>
  </si>
  <si>
    <t>746 GREAT OAKS DR</t>
  </si>
  <si>
    <t>C -19-11-252-007</t>
  </si>
  <si>
    <t>745 BROOKWOOD WALKE</t>
  </si>
  <si>
    <t>C -19-11-252-013</t>
  </si>
  <si>
    <t>706 GREAT OAKS DR</t>
  </si>
  <si>
    <t>C -19-11-253-004</t>
  </si>
  <si>
    <t>774 BROOKWOOD WALKE</t>
  </si>
  <si>
    <t>C -19-11-254-003</t>
  </si>
  <si>
    <t>766 WOODCHESTER DR</t>
  </si>
  <si>
    <t>C -19-11-254-016</t>
  </si>
  <si>
    <t>2980 WOODCREEK WAY</t>
  </si>
  <si>
    <t>C -19-11-255-002</t>
  </si>
  <si>
    <t>2961 WOODCREEK WAY</t>
  </si>
  <si>
    <t>C -19-11-276-007</t>
  </si>
  <si>
    <t>2817 WOODCREEK WAY</t>
  </si>
  <si>
    <t>C -19-11-276-031</t>
  </si>
  <si>
    <t>2840 SEVERN LN</t>
  </si>
  <si>
    <t>C -19-11-276-032</t>
  </si>
  <si>
    <t>2844 SEVERN LN</t>
  </si>
  <si>
    <t>C -19-10-251-019</t>
  </si>
  <si>
    <t>217 DOURDAN</t>
  </si>
  <si>
    <t>Land Table 11120</t>
  </si>
  <si>
    <t>C -19-10-251-031</t>
  </si>
  <si>
    <t>136 DOURDAN</t>
  </si>
  <si>
    <t>C -19-11-226-024</t>
  </si>
  <si>
    <t>2574 GINGER CT</t>
  </si>
  <si>
    <t>C -19-11-226-025</t>
  </si>
  <si>
    <t>2596 GINGER CT</t>
  </si>
  <si>
    <t>C -19-11-226-039</t>
  </si>
  <si>
    <t>794 PALMS RD</t>
  </si>
  <si>
    <t>C -19-11-277-025</t>
  </si>
  <si>
    <t>918 MITCHELL CT</t>
  </si>
  <si>
    <t>C -19-12-303-038</t>
  </si>
  <si>
    <t>840 HIDDEN PINE RD</t>
  </si>
  <si>
    <t>Land Table 12100</t>
  </si>
  <si>
    <t>C -19-12-176-017</t>
  </si>
  <si>
    <t>969 N READING RD</t>
  </si>
  <si>
    <t>Land Table 12110</t>
  </si>
  <si>
    <t>C -19-12-178-008</t>
  </si>
  <si>
    <t>925 WESTVIEW RD</t>
  </si>
  <si>
    <t>C -19-12-251-012</t>
  </si>
  <si>
    <t>977 N READING RD</t>
  </si>
  <si>
    <t>C -19-12-251-014</t>
  </si>
  <si>
    <t>995 N READING RD</t>
  </si>
  <si>
    <t>C -19-12-327-012</t>
  </si>
  <si>
    <t>941 DURSLEY RD</t>
  </si>
  <si>
    <t>C -19-12-401-014</t>
  </si>
  <si>
    <t>1070 NORTHOVER DR</t>
  </si>
  <si>
    <t>C -19-12-402-003</t>
  </si>
  <si>
    <t>3055 PATCH DR</t>
  </si>
  <si>
    <t>C -19-12-402-008</t>
  </si>
  <si>
    <t>1085 NORTHOVER DR</t>
  </si>
  <si>
    <t>C -19-12-403-003</t>
  </si>
  <si>
    <t>3057 BETSY ROSS DR</t>
  </si>
  <si>
    <t>C -19-12-426-004</t>
  </si>
  <si>
    <t>1231 NORTHOVER DR</t>
  </si>
  <si>
    <t>C -19-12-426-006</t>
  </si>
  <si>
    <t>1299 NORTHOVER DR</t>
  </si>
  <si>
    <t>C -19-12-426-023</t>
  </si>
  <si>
    <t>3052 WESTMAN CT</t>
  </si>
  <si>
    <t>C -19-12-426-028</t>
  </si>
  <si>
    <t>3033 WESTMAN CT</t>
  </si>
  <si>
    <t>C -19-12-427-021</t>
  </si>
  <si>
    <t>1065 GREENTREE RD</t>
  </si>
  <si>
    <t>C -19-12-427-023</t>
  </si>
  <si>
    <t>5151 N ADAMS RD</t>
  </si>
  <si>
    <t>C -19-12-451-014</t>
  </si>
  <si>
    <t>3280 GREENTREE RD</t>
  </si>
  <si>
    <t>C -19-12-452-006</t>
  </si>
  <si>
    <t>955 E LONG LAKE RD</t>
  </si>
  <si>
    <t>C -19-12-452-009</t>
  </si>
  <si>
    <t>3364 GREENTREE RD</t>
  </si>
  <si>
    <t>C -19-12-476-003</t>
  </si>
  <si>
    <t>3267 GREENTREE RD</t>
  </si>
  <si>
    <t>C -19-12-477-010</t>
  </si>
  <si>
    <t>3341 WESTCHESTER RD</t>
  </si>
  <si>
    <t>C -19-11-229-002</t>
  </si>
  <si>
    <t>2564 LAMPLIGHTER LN</t>
  </si>
  <si>
    <t>Land Table 12120</t>
  </si>
  <si>
    <t>C -19-11-229-007</t>
  </si>
  <si>
    <t>960 CANDLESTICK CT</t>
  </si>
  <si>
    <t>C -19-11-229-010</t>
  </si>
  <si>
    <t>915 LAMPWICK CT</t>
  </si>
  <si>
    <t>C -19-11-229-022</t>
  </si>
  <si>
    <t>2688 LAMPLIGHTER LN</t>
  </si>
  <si>
    <t>C -19-12-151-015</t>
  </si>
  <si>
    <t>2852 MASEFIELD CT</t>
  </si>
  <si>
    <t>C -19-12-151-016</t>
  </si>
  <si>
    <t>2842 MASEFIELD DR</t>
  </si>
  <si>
    <t>C -19-12-152-003</t>
  </si>
  <si>
    <t>2861 MASEFIELD DR</t>
  </si>
  <si>
    <t>C -19-12-152-014</t>
  </si>
  <si>
    <t>2951 MASEFIELD DR</t>
  </si>
  <si>
    <t>C -19-12-153-022</t>
  </si>
  <si>
    <t>2840 SQUIRREL RD</t>
  </si>
  <si>
    <t>C -19-12-153-027</t>
  </si>
  <si>
    <t>2932 SQUIRREL RD</t>
  </si>
  <si>
    <t>C -19-12-126-011</t>
  </si>
  <si>
    <t>2580 KENTMOOR RD</t>
  </si>
  <si>
    <t>Land Table 12130</t>
  </si>
  <si>
    <t>C -19-12-203-006</t>
  </si>
  <si>
    <t>1211 LENOX RD</t>
  </si>
  <si>
    <t>C -19-12-203-007</t>
  </si>
  <si>
    <t>1227 LENOX RD</t>
  </si>
  <si>
    <t>SD</t>
  </si>
  <si>
    <t>C -19-12-228-005</t>
  </si>
  <si>
    <t>5775 N ADAMS RD</t>
  </si>
  <si>
    <t>C -19-12-228-008</t>
  </si>
  <si>
    <t>1425 MANDERFORD RD</t>
  </si>
  <si>
    <t>C -19-12-228-013</t>
  </si>
  <si>
    <t>1408 LENOX RD</t>
  </si>
  <si>
    <t>C -19-12-276-005</t>
  </si>
  <si>
    <t>2900 THEDFORD RD</t>
  </si>
  <si>
    <t>C -19-12-276-007</t>
  </si>
  <si>
    <t>2960 THEDFORD RD</t>
  </si>
  <si>
    <t>C -19-12-277-001</t>
  </si>
  <si>
    <t>1420 MANDERFORD RD</t>
  </si>
  <si>
    <t>C -19-12-277-008</t>
  </si>
  <si>
    <t>1281 WHITMORE RD</t>
  </si>
  <si>
    <t>C -19-12-351-010</t>
  </si>
  <si>
    <t>3504 WALBRI DR</t>
  </si>
  <si>
    <t>Land Table 13100</t>
  </si>
  <si>
    <t>C -19-13-101-001</t>
  </si>
  <si>
    <t>3653 LAKECREST DR</t>
  </si>
  <si>
    <t>C -19-12-352-002</t>
  </si>
  <si>
    <t>3515 WALBRI DR</t>
  </si>
  <si>
    <t>Land Table 13110</t>
  </si>
  <si>
    <t>C -19-13-102-001</t>
  </si>
  <si>
    <t>3539 WALBRI DR</t>
  </si>
  <si>
    <t>C -19-13-151-005</t>
  </si>
  <si>
    <t>3802 CRESTLAKE DR</t>
  </si>
  <si>
    <t>C -19-13-153-001</t>
  </si>
  <si>
    <t>3810 LAKECREST DR</t>
  </si>
  <si>
    <t>C -19-13-153-002</t>
  </si>
  <si>
    <t>3831 WOODLAKE DR</t>
  </si>
  <si>
    <t>C -19-12-376-017</t>
  </si>
  <si>
    <t>3361 SQUIRREL RD</t>
  </si>
  <si>
    <t>Land Table 13120</t>
  </si>
  <si>
    <t>C -19-12-376-024</t>
  </si>
  <si>
    <t>3370 BLOOMCREST DR</t>
  </si>
  <si>
    <t>C -19-12-378-004</t>
  </si>
  <si>
    <t>3475 BLOOMCREST DR</t>
  </si>
  <si>
    <t>C -19-13-126-001</t>
  </si>
  <si>
    <t>3525 SQUIRREL RD</t>
  </si>
  <si>
    <t>C -19-13-128-007</t>
  </si>
  <si>
    <t>3636 FOREST HILL DR</t>
  </si>
  <si>
    <t>C -19-13-227-005</t>
  </si>
  <si>
    <t>1058 EASTOVER DR</t>
  </si>
  <si>
    <t>C -19-13-227-007</t>
  </si>
  <si>
    <t>1021 DOWLING RD</t>
  </si>
  <si>
    <t>C -19-13-228-001</t>
  </si>
  <si>
    <t>4845 N ADAMS RD</t>
  </si>
  <si>
    <t>C -19-13-128-011</t>
  </si>
  <si>
    <t>825 N VALLEY CHASE RD</t>
  </si>
  <si>
    <t>Land Table 13130</t>
  </si>
  <si>
    <t>C -19-13-177-020</t>
  </si>
  <si>
    <t>779 HAWTHORNE CT</t>
  </si>
  <si>
    <t>C -19-13-177-024</t>
  </si>
  <si>
    <t>761 N VALLEY CHASE RD</t>
  </si>
  <si>
    <t>C -19-13-251-011</t>
  </si>
  <si>
    <t>870 DOWLING RD</t>
  </si>
  <si>
    <t>C -19-13-252-001</t>
  </si>
  <si>
    <t>681 E VALLEY CHASE RD</t>
  </si>
  <si>
    <t>C -19-13-276-008</t>
  </si>
  <si>
    <t>1072 SATTERLEE RD</t>
  </si>
  <si>
    <t>C -19-13-276-014</t>
  </si>
  <si>
    <t>1041 ROCK SPRING RD</t>
  </si>
  <si>
    <t>C -19-13-277-003</t>
  </si>
  <si>
    <t>1010 ROCK SPRING RD</t>
  </si>
  <si>
    <t>C -19-13-277-004</t>
  </si>
  <si>
    <t>1024 ROCK SPRING RD</t>
  </si>
  <si>
    <t>C -19-13-277-018</t>
  </si>
  <si>
    <t>1081 TOP VIEW RD</t>
  </si>
  <si>
    <t>C -19-13-278-005</t>
  </si>
  <si>
    <t>3837 TOP VIEW CT</t>
  </si>
  <si>
    <t>C -19-13-278-008</t>
  </si>
  <si>
    <t>3895 TOP VIEW CT</t>
  </si>
  <si>
    <t>C -19-13-278-010</t>
  </si>
  <si>
    <t>3884 TOP VIEW CT</t>
  </si>
  <si>
    <t>C -19-13-326-003</t>
  </si>
  <si>
    <t>433 WHIPPERS IN CT</t>
  </si>
  <si>
    <t>C -19-13-401-005</t>
  </si>
  <si>
    <t>3914 W ORCHARD HILL DR</t>
  </si>
  <si>
    <t>C -19-13-401-015</t>
  </si>
  <si>
    <t>4318 FAR HILL DR</t>
  </si>
  <si>
    <t>C -19-13-401-024</t>
  </si>
  <si>
    <t>4480 TARRY LN</t>
  </si>
  <si>
    <t>C -19-13-404-001</t>
  </si>
  <si>
    <t>3933 FAR HILL DR</t>
  </si>
  <si>
    <t>C -19-13-404-024</t>
  </si>
  <si>
    <t>4020 ORCHARD HILL DR</t>
  </si>
  <si>
    <t>C -19-13-404-028</t>
  </si>
  <si>
    <t>4156 ORCHARD HILL DR</t>
  </si>
  <si>
    <t>C -19-13-427-002</t>
  </si>
  <si>
    <t>933 HICKORY HEIGHTS DR</t>
  </si>
  <si>
    <t>C -19-13-427-005</t>
  </si>
  <si>
    <t>987 HICKORY HEIGHTS DR</t>
  </si>
  <si>
    <t>C -19-13-428-006</t>
  </si>
  <si>
    <t>936 HICKORY HEIGHTS DR</t>
  </si>
  <si>
    <t>C -19-13-428-008</t>
  </si>
  <si>
    <t>970 HICKORY HEIGHTS DR</t>
  </si>
  <si>
    <t>C -19-13-428-014</t>
  </si>
  <si>
    <t>899 FOX RUN</t>
  </si>
  <si>
    <t>C -19-13-429-008</t>
  </si>
  <si>
    <t>875 PINE HILL DR</t>
  </si>
  <si>
    <t>C -19-13-452-006</t>
  </si>
  <si>
    <t>4440 PARKLANE CT</t>
  </si>
  <si>
    <t>C -19-13-476-006</t>
  </si>
  <si>
    <t>4197 ORCHARD HILL DR</t>
  </si>
  <si>
    <t>C -19-13-477-003</t>
  </si>
  <si>
    <t>4159 MEADOWLANE DR</t>
  </si>
  <si>
    <t>C -19-13-477-013</t>
  </si>
  <si>
    <t>4321 MEADOWLANE CT</t>
  </si>
  <si>
    <t>C -19-13-477-018</t>
  </si>
  <si>
    <t>4361 MEADOWLANE CT</t>
  </si>
  <si>
    <t>C -19-13-351-010</t>
  </si>
  <si>
    <t>4413 CHARING WAY</t>
  </si>
  <si>
    <t>Land Table 13140</t>
  </si>
  <si>
    <t>C -19-13-352-008</t>
  </si>
  <si>
    <t>4371 QUEENS WAY</t>
  </si>
  <si>
    <t>C -19-13-353-003</t>
  </si>
  <si>
    <t>4340 QUEENS WAY</t>
  </si>
  <si>
    <t>C -19-16-101-017</t>
  </si>
  <si>
    <t>3670 TELEGRAPH RD</t>
  </si>
  <si>
    <t>Land Table 16100</t>
  </si>
  <si>
    <t>C -19-16-101-025</t>
  </si>
  <si>
    <t>3747 FRANKLIN RD</t>
  </si>
  <si>
    <t>C -19-16-151-002</t>
  </si>
  <si>
    <t>3860 MYSTIC VALLEY DR</t>
  </si>
  <si>
    <t>C -19-16-151-013</t>
  </si>
  <si>
    <t>3900 MYSTIC VALLEY DR</t>
  </si>
  <si>
    <t>C -19-16-126-006</t>
  </si>
  <si>
    <t>3627 SHALLOW BROOK DR</t>
  </si>
  <si>
    <t>Land Table 16110</t>
  </si>
  <si>
    <t>C -19-16-126-010</t>
  </si>
  <si>
    <t>3665 SHALLOW BROOK DR</t>
  </si>
  <si>
    <t>C -19-16-127-010</t>
  </si>
  <si>
    <t>911 DEDHAM CT</t>
  </si>
  <si>
    <t>C -19-16-201-023</t>
  </si>
  <si>
    <t>3810 BROOKSIDE DR</t>
  </si>
  <si>
    <t>Land Table 16120</t>
  </si>
  <si>
    <t>C -19-16-201-029</t>
  </si>
  <si>
    <t>3715 SHALLOW BROOK DR</t>
  </si>
  <si>
    <t>C -19-16-204-004</t>
  </si>
  <si>
    <t>621 RIDGE RD</t>
  </si>
  <si>
    <t>C -19-16-251-006</t>
  </si>
  <si>
    <t>760 W LONG LAKE RD</t>
  </si>
  <si>
    <t>C -19-16-226-003</t>
  </si>
  <si>
    <t>3581 LARKWOOD CT</t>
  </si>
  <si>
    <t>Land Table 16130</t>
  </si>
  <si>
    <t>OTH</t>
  </si>
  <si>
    <t>C -19-16-226-005</t>
  </si>
  <si>
    <t>3609 LARKWOOD CT</t>
  </si>
  <si>
    <t>C -19-16-226-021</t>
  </si>
  <si>
    <t>591 WOODWAY CT</t>
  </si>
  <si>
    <t>C -19-16-226-023</t>
  </si>
  <si>
    <t>3644 BURNING TREE DR</t>
  </si>
  <si>
    <t>C -19-16-276-001</t>
  </si>
  <si>
    <t>3570 LARKWOOD CT</t>
  </si>
  <si>
    <t>C -19-16-276-005</t>
  </si>
  <si>
    <t>3650 LARKWOOD CT</t>
  </si>
  <si>
    <t>C -19-16-276-015</t>
  </si>
  <si>
    <t>3790 BURNING TREE DR</t>
  </si>
  <si>
    <t>C -19-16-276-017</t>
  </si>
  <si>
    <t>3810 BURNING TREE DR</t>
  </si>
  <si>
    <t>C -19-16-277-003</t>
  </si>
  <si>
    <t>3725 BURNING TREE DR</t>
  </si>
  <si>
    <t>C -19-16-278-006</t>
  </si>
  <si>
    <t>3721 THORNBRIER WAY</t>
  </si>
  <si>
    <t>C -19-16-278-010</t>
  </si>
  <si>
    <t>3753 THORNBRIER WAY</t>
  </si>
  <si>
    <t>C -19-16-278-011</t>
  </si>
  <si>
    <t>3765 THORNBRIER WAY</t>
  </si>
  <si>
    <t>C -19-16-278-021</t>
  </si>
  <si>
    <t>3880 LAHSER RD</t>
  </si>
  <si>
    <t>C -19-16-376-008</t>
  </si>
  <si>
    <t>4206 SUNNINGDALE DR</t>
  </si>
  <si>
    <t>Land Table 16140</t>
  </si>
  <si>
    <t>C -19-16-376-011</t>
  </si>
  <si>
    <t>4270 SUNNINGDALE DR</t>
  </si>
  <si>
    <t>C -19-16-376-012</t>
  </si>
  <si>
    <t>800 WILLOWAY ESTATES DR</t>
  </si>
  <si>
    <t>C -19-16-377-028</t>
  </si>
  <si>
    <t>4371 S WILLOWAY ESTATES CT</t>
  </si>
  <si>
    <t>C -19-16-377-029</t>
  </si>
  <si>
    <t>4489 S WILLOWAY ESTATES CT</t>
  </si>
  <si>
    <t>C -19-16-377-030</t>
  </si>
  <si>
    <t>4467 S WILLOWAY ESTATES CT</t>
  </si>
  <si>
    <t>C -19-16-378-009</t>
  </si>
  <si>
    <t>4243 SUNNINGDALE DR</t>
  </si>
  <si>
    <t>C -19-16-378-012</t>
  </si>
  <si>
    <t>4297 SUNNINGDALE DR</t>
  </si>
  <si>
    <t>C -19-16-378-015</t>
  </si>
  <si>
    <t>4363 SUNNINGDALE DR</t>
  </si>
  <si>
    <t>C -19-16-401-013</t>
  </si>
  <si>
    <t>4120 STONELEIGH RD</t>
  </si>
  <si>
    <t>Land Table 16150</t>
  </si>
  <si>
    <t>C -19-16-402-008</t>
  </si>
  <si>
    <t>4050 NEARBROOK RD</t>
  </si>
  <si>
    <t>C -19-16-402-011</t>
  </si>
  <si>
    <t>4086 NEARBROOK RD</t>
  </si>
  <si>
    <t>C -19-16-402-019</t>
  </si>
  <si>
    <t>4279 STONELEIGH RD</t>
  </si>
  <si>
    <t>C -19-16-403-016</t>
  </si>
  <si>
    <t>4165 NEARBROOK RD</t>
  </si>
  <si>
    <t>C -19-16-403-017</t>
  </si>
  <si>
    <t>4081 NEARBROOK RD</t>
  </si>
  <si>
    <t>C -19-16-426-005</t>
  </si>
  <si>
    <t>620 PINE VALLEY WAY</t>
  </si>
  <si>
    <t>C -19-16-426-006</t>
  </si>
  <si>
    <t>612 PINE VALLEY WAY</t>
  </si>
  <si>
    <t>C -19-16-451-008</t>
  </si>
  <si>
    <t>4378 COMPTON WAY</t>
  </si>
  <si>
    <t>C -19-16-451-010</t>
  </si>
  <si>
    <t>4310 VERNOR CT</t>
  </si>
  <si>
    <t>C -19-16-452-011</t>
  </si>
  <si>
    <t>4282 STONELEIGH RD</t>
  </si>
  <si>
    <t>C -19-16-452-018</t>
  </si>
  <si>
    <t>4368 STONELEIGH RD</t>
  </si>
  <si>
    <t>C -19-16-452-030</t>
  </si>
  <si>
    <t>4536 BRIGHTMORE RD</t>
  </si>
  <si>
    <t>C -19-16-452-036</t>
  </si>
  <si>
    <t>4444 ARDMORE CT</t>
  </si>
  <si>
    <t>C -19-16-477-008</t>
  </si>
  <si>
    <t>4385 STONELEIGH RD</t>
  </si>
  <si>
    <t>C -19-16-477-012</t>
  </si>
  <si>
    <t>4334 ARDMORE DR</t>
  </si>
  <si>
    <t>C -19-16-478-001</t>
  </si>
  <si>
    <t>4423 ARDMORE DR</t>
  </si>
  <si>
    <t>C -19-16-478-006</t>
  </si>
  <si>
    <t>4409 ARDMORE DR</t>
  </si>
  <si>
    <t>C -19-16-479-011</t>
  </si>
  <si>
    <t>4462 BARCHESTER DR</t>
  </si>
  <si>
    <t>C -19-21-202-006</t>
  </si>
  <si>
    <t>920 SANDHURST RD</t>
  </si>
  <si>
    <t>C -19-21-202-010</t>
  </si>
  <si>
    <t>4550 ARDMORE DR</t>
  </si>
  <si>
    <t>C -19-16-327-002</t>
  </si>
  <si>
    <t>4043 WILLOWAY PLACE DR</t>
  </si>
  <si>
    <t>Land Table 16200</t>
  </si>
  <si>
    <t>C -19-16-327-003</t>
  </si>
  <si>
    <t>4049 WILLOWAY PLACE DR</t>
  </si>
  <si>
    <t>C -19-16-327-004</t>
  </si>
  <si>
    <t>4055 WILLOWAY PLACE DR</t>
  </si>
  <si>
    <t>C -19-16-327-006</t>
  </si>
  <si>
    <t>4067 WILLOWAY PLACE DR</t>
  </si>
  <si>
    <t>C -19-16-327-009</t>
  </si>
  <si>
    <t>4085 WILLOWAY PLACE DR</t>
  </si>
  <si>
    <t>C -19-16-327-012</t>
  </si>
  <si>
    <t>4103 WILLOWAY PLACE DR</t>
  </si>
  <si>
    <t>C -19-16-326-031</t>
  </si>
  <si>
    <t>801 W LONG LAKE RD APT B-5</t>
  </si>
  <si>
    <t>Land Table 16210</t>
  </si>
  <si>
    <t>C -19-16-326-032</t>
  </si>
  <si>
    <t>801 W LONG LAKE RD APT B-8</t>
  </si>
  <si>
    <t>C -19-16-326-046</t>
  </si>
  <si>
    <t>801 W LONG LAKE RD APT D-6</t>
  </si>
  <si>
    <t>C -19-16-326-049</t>
  </si>
  <si>
    <t>801 W LONG LAKE RD APT D-7</t>
  </si>
  <si>
    <t>C -19-16-326-061</t>
  </si>
  <si>
    <t>801 W LONG LAKE RD APT E-3</t>
  </si>
  <si>
    <t>C -19-16-326-071</t>
  </si>
  <si>
    <t>801 W LONG LAKE RD APT G-1</t>
  </si>
  <si>
    <t>C -19-16-326-102</t>
  </si>
  <si>
    <t>4113 TELEGRAPH RD # B-217</t>
  </si>
  <si>
    <t>Land Table 16220</t>
  </si>
  <si>
    <t>C -19-16-326-107</t>
  </si>
  <si>
    <t>4113 TELEGRAPH RD # C-122</t>
  </si>
  <si>
    <t>C -19-16-326-113</t>
  </si>
  <si>
    <t>4113 TELEGRAPH RD # D-126</t>
  </si>
  <si>
    <t>C -19-16-326-132</t>
  </si>
  <si>
    <t>4113 TELEGRAPH RD # F-205</t>
  </si>
  <si>
    <t>C -19-16-426-035</t>
  </si>
  <si>
    <t>513 PINEWAY CIR</t>
  </si>
  <si>
    <t>Land Table 16230</t>
  </si>
  <si>
    <t>C -19-16-426-042</t>
  </si>
  <si>
    <t>560 PINEWAY CIR</t>
  </si>
  <si>
    <t>C -19-16-426-043</t>
  </si>
  <si>
    <t>566 PINEWAY CIR</t>
  </si>
  <si>
    <t>C -19-16-352-002</t>
  </si>
  <si>
    <t>1166 COPPERWOOD DR</t>
  </si>
  <si>
    <t>Land Table 17100</t>
  </si>
  <si>
    <t>C -19-17-401-016</t>
  </si>
  <si>
    <t>4203 CARILLON DR</t>
  </si>
  <si>
    <t>C -19-17-453-009</t>
  </si>
  <si>
    <t>1289 WATER CLIFF DR</t>
  </si>
  <si>
    <t>C -19-17-453-010</t>
  </si>
  <si>
    <t>4309 COPPER CLIFF CT</t>
  </si>
  <si>
    <t>C -19-17-477-003</t>
  </si>
  <si>
    <t>1185 COPPERWOOD DR</t>
  </si>
  <si>
    <t>C -19-17-477-012</t>
  </si>
  <si>
    <t>1265 WATER CLIFF DR</t>
  </si>
  <si>
    <t>C -19-17-477-013</t>
  </si>
  <si>
    <t>1273 WATER CLIFF DR</t>
  </si>
  <si>
    <t>C -19-17-376-001</t>
  </si>
  <si>
    <t>4031 PINE TREE TRL</t>
  </si>
  <si>
    <t>Land Table 17110</t>
  </si>
  <si>
    <t>C -19-17-376-004</t>
  </si>
  <si>
    <t>1450 HIGHMOOR WAY</t>
  </si>
  <si>
    <t>C -19-17-376-006</t>
  </si>
  <si>
    <t>1410 HIGHMOOR WAY</t>
  </si>
  <si>
    <t>C -19-17-376-050</t>
  </si>
  <si>
    <t>1367 W LONG LAKE RD</t>
  </si>
  <si>
    <t>C -19-18-153-011</t>
  </si>
  <si>
    <t>1892 SEMINOLE CT</t>
  </si>
  <si>
    <t>Land Table 18100</t>
  </si>
  <si>
    <t>C -19-18-178-004</t>
  </si>
  <si>
    <t>4049 ABBY CT</t>
  </si>
  <si>
    <t>C -19-18-453-011</t>
  </si>
  <si>
    <t>1769 GOLF RIDGE DR S</t>
  </si>
  <si>
    <t>C -19-19-101-021</t>
  </si>
  <si>
    <t>1942 SHERWOOD GLN</t>
  </si>
  <si>
    <t>Land Table 18102</t>
  </si>
  <si>
    <t>C -19-19-101-024</t>
  </si>
  <si>
    <t>1924 SHERWOOD GLN</t>
  </si>
  <si>
    <t>C -19-19-102-005</t>
  </si>
  <si>
    <t>1955 SHERWOOD GLN</t>
  </si>
  <si>
    <t>C -19-18-427-006</t>
  </si>
  <si>
    <t>4106 WATERWHEEL LN</t>
  </si>
  <si>
    <t>Land Table 18110</t>
  </si>
  <si>
    <t>C -19-18-427-008</t>
  </si>
  <si>
    <t>4130 WATERWHEEL LN</t>
  </si>
  <si>
    <t>C -19-18-428-007</t>
  </si>
  <si>
    <t>4125 WATERWHEEL LN</t>
  </si>
  <si>
    <t>C -19-18-429-004</t>
  </si>
  <si>
    <t>4073 ANTIQUE LN</t>
  </si>
  <si>
    <t>C -19-18-404-004</t>
  </si>
  <si>
    <t>3242 BARON DR</t>
  </si>
  <si>
    <t>Land Table 18200</t>
  </si>
  <si>
    <t>C -19-18-303-015</t>
  </si>
  <si>
    <t>1881 PINE RIDGE LN</t>
  </si>
  <si>
    <t>Land Table 18220</t>
  </si>
  <si>
    <t>C -19-18-303-018</t>
  </si>
  <si>
    <t>1850 PINE RIDGE LN</t>
  </si>
  <si>
    <t>C -19-18-303-025</t>
  </si>
  <si>
    <t>1892 PINE RIDGE LN</t>
  </si>
  <si>
    <t>C -19-18-303-027</t>
  </si>
  <si>
    <t>1888 PINE RIDGE LN</t>
  </si>
  <si>
    <t>C -19-18-303-033</t>
  </si>
  <si>
    <t>1926 PINE RIDGE LN</t>
  </si>
  <si>
    <t>C -19-18-303-042</t>
  </si>
  <si>
    <t>1943 PINE RIDGE CT</t>
  </si>
  <si>
    <t>C -19-18-303-056</t>
  </si>
  <si>
    <t>1915 PINE RIDGE LN</t>
  </si>
  <si>
    <t>C -19-18-352-011</t>
  </si>
  <si>
    <t>1920 OAK CLIFF DR</t>
  </si>
  <si>
    <t>C -19-18-401-021</t>
  </si>
  <si>
    <t>1728 SAINT JOHNS CT</t>
  </si>
  <si>
    <t>C -19-18-401-036</t>
  </si>
  <si>
    <t>4090 SAINT ANDREWS CT</t>
  </si>
  <si>
    <t>C -19-18-152-028</t>
  </si>
  <si>
    <t>1870 CHIPPING WAY CT</t>
  </si>
  <si>
    <t>Land Table 18230</t>
  </si>
  <si>
    <t>C -19-18-152-034</t>
  </si>
  <si>
    <t>1869 CHIPPING WAY CT</t>
  </si>
  <si>
    <t>C -19-18-177-003</t>
  </si>
  <si>
    <t>1845 GOLF RIDGE DR</t>
  </si>
  <si>
    <t>C -19-18-177-007</t>
  </si>
  <si>
    <t>1835 GOLF RIDGE DR</t>
  </si>
  <si>
    <t>C -19-18-177-012</t>
  </si>
  <si>
    <t>1823 GOLF RIDGE DR</t>
  </si>
  <si>
    <t>C -19-18-177-023</t>
  </si>
  <si>
    <t>1765 GOLF RIDGE DR</t>
  </si>
  <si>
    <t>C -19-18-177-024</t>
  </si>
  <si>
    <t>1763 GOLF RIDGE DR</t>
  </si>
  <si>
    <t>C -19-19-101-017</t>
  </si>
  <si>
    <t>1915 CRAGIN DR</t>
  </si>
  <si>
    <t>Land Table 19100</t>
  </si>
  <si>
    <t>C -19-19-126-006</t>
  </si>
  <si>
    <t>4610 CIMARRON DR</t>
  </si>
  <si>
    <t>C -19-19-126-015</t>
  </si>
  <si>
    <t>1888 W TAHQUAMENON CT</t>
  </si>
  <si>
    <t>C -19-19-126-016</t>
  </si>
  <si>
    <t>1898 W TAHQUAMENON CT</t>
  </si>
  <si>
    <t>C -19-19-151-012</t>
  </si>
  <si>
    <t>1963 CRAGIN DR</t>
  </si>
  <si>
    <t>C -19-19-176-010</t>
  </si>
  <si>
    <t>4948 CIMARRON DR</t>
  </si>
  <si>
    <t>C -19-19-251-018</t>
  </si>
  <si>
    <t>4979 MALIBU DR</t>
  </si>
  <si>
    <t>C -19-19-251-024</t>
  </si>
  <si>
    <t>4901 MALIBU DR</t>
  </si>
  <si>
    <t>C -19-19-252-013</t>
  </si>
  <si>
    <t>4962 WHISPERING PINE LN</t>
  </si>
  <si>
    <t>C -19-19-252-014</t>
  </si>
  <si>
    <t>4966 WHISPERING PINE LN</t>
  </si>
  <si>
    <t>C -19-19-302-014</t>
  </si>
  <si>
    <t>5155 INKSTER RD</t>
  </si>
  <si>
    <t>Land Table 19120</t>
  </si>
  <si>
    <t>C -19-19-402-003</t>
  </si>
  <si>
    <t>1715 LONE PINE RD</t>
  </si>
  <si>
    <t>C -19-19-403-007</t>
  </si>
  <si>
    <t>1780 WOOD GROVE LN</t>
  </si>
  <si>
    <t>C -19-19-403-022</t>
  </si>
  <si>
    <t>1779 WOOD GROVE LN</t>
  </si>
  <si>
    <t>C -19-19-403-023</t>
  </si>
  <si>
    <t>1769 WOOD GROVE LN</t>
  </si>
  <si>
    <t>C -19-19-427-003</t>
  </si>
  <si>
    <t>1625 LONE PINE RD</t>
  </si>
  <si>
    <t>C -19-19-427-036</t>
  </si>
  <si>
    <t>5140 CREST KNOLLS CT</t>
  </si>
  <si>
    <t>C -19-19-428-003</t>
  </si>
  <si>
    <t>5165 CLARENDON CRST</t>
  </si>
  <si>
    <t>C -19-19-476-044</t>
  </si>
  <si>
    <t>5240 CLARENDON CRST</t>
  </si>
  <si>
    <t>C -19-19-303-011</t>
  </si>
  <si>
    <t>5192 HOLLOW CT</t>
  </si>
  <si>
    <t>Land Table 19130</t>
  </si>
  <si>
    <t>C -19-19-304-002</t>
  </si>
  <si>
    <t>5222 WOODVIEW DR</t>
  </si>
  <si>
    <t>C -19-19-304-006</t>
  </si>
  <si>
    <t>5270 HOLLOW DR</t>
  </si>
  <si>
    <t>C -19-19-356-006</t>
  </si>
  <si>
    <t>5374 VINCENNES DR</t>
  </si>
  <si>
    <t>C -19-19-358-004</t>
  </si>
  <si>
    <t>5390 HOLLOW DR</t>
  </si>
  <si>
    <t>C -19-19-358-005</t>
  </si>
  <si>
    <t>5400 HOLLOW DR</t>
  </si>
  <si>
    <t>C -19-19-359-004</t>
  </si>
  <si>
    <t>5367 PROVINCIAL DR</t>
  </si>
  <si>
    <t>C -19-19-377-003</t>
  </si>
  <si>
    <t>5441 PROVINCIAL DR</t>
  </si>
  <si>
    <t>C -19-19-377-004</t>
  </si>
  <si>
    <t>5451 PROVINCIAL DR</t>
  </si>
  <si>
    <t>C -19-19-379-034</t>
  </si>
  <si>
    <t>5201 PROVINCIAL DR</t>
  </si>
  <si>
    <t>C -19-19-381-001</t>
  </si>
  <si>
    <t>1765 BELLWOOD CT</t>
  </si>
  <si>
    <t>C -19-19-403-016</t>
  </si>
  <si>
    <t>1732 BELLWOOD CT</t>
  </si>
  <si>
    <t>C -19-19-426-017</t>
  </si>
  <si>
    <t>5332 VAN NESS DR</t>
  </si>
  <si>
    <t>Land Table 19140</t>
  </si>
  <si>
    <t>C -19-19-426-022</t>
  </si>
  <si>
    <t>5398 VAN NESS DR</t>
  </si>
  <si>
    <t>C -19-19-427-008</t>
  </si>
  <si>
    <t>5067 VAN NESS DR</t>
  </si>
  <si>
    <t>C -19-19-427-023</t>
  </si>
  <si>
    <t>5269 FAIRMONT HILL CT</t>
  </si>
  <si>
    <t>C -19-19-476-003</t>
  </si>
  <si>
    <t>5349 VAN NESS CT</t>
  </si>
  <si>
    <t>C -19-19-476-038</t>
  </si>
  <si>
    <t>1636 MARK HOPKINS RD</t>
  </si>
  <si>
    <t>C -19-19-201-009</t>
  </si>
  <si>
    <t>4648 COACHMAKER DR</t>
  </si>
  <si>
    <t>Land Table 19150</t>
  </si>
  <si>
    <t>C -19-19-201-010</t>
  </si>
  <si>
    <t>4662 COACHMAKER DR</t>
  </si>
  <si>
    <t>C -19-19-201-025</t>
  </si>
  <si>
    <t>1732 BLAIR HOUSE CT</t>
  </si>
  <si>
    <t>C -19-19-201-027</t>
  </si>
  <si>
    <t>1723 BLAIR HOUSE CT</t>
  </si>
  <si>
    <t>C -19-19-226-018</t>
  </si>
  <si>
    <t>1654 BRACKEN RD</t>
  </si>
  <si>
    <t>C -19-19-228-001</t>
  </si>
  <si>
    <t>4611 BRAFFERTON DR</t>
  </si>
  <si>
    <t>C -19-19-276-001</t>
  </si>
  <si>
    <t>4670 BRAFFERTON DR</t>
  </si>
  <si>
    <t>C -19-19-276-008</t>
  </si>
  <si>
    <t>4786 BRAFFERTON DR</t>
  </si>
  <si>
    <t>C -19-19-276-011</t>
  </si>
  <si>
    <t>1656 KELLER LN</t>
  </si>
  <si>
    <t>C -19-17-352-020</t>
  </si>
  <si>
    <t>4316 PINE TREE TRL</t>
  </si>
  <si>
    <t>Land Table 20100</t>
  </si>
  <si>
    <t>C -19-17-352-025</t>
  </si>
  <si>
    <t>4396 PINE TREE TRL</t>
  </si>
  <si>
    <t>C -19-17-376-028</t>
  </si>
  <si>
    <t>4265 PINE TREE TRL</t>
  </si>
  <si>
    <t>C -19-17-376-031</t>
  </si>
  <si>
    <t>4366 RISDON CT</t>
  </si>
  <si>
    <t>C -19-17-377-011</t>
  </si>
  <si>
    <t>1409 CEDAR BEND DR</t>
  </si>
  <si>
    <t>C -19-20-101-003</t>
  </si>
  <si>
    <t>4450 PINE TREE TRL</t>
  </si>
  <si>
    <t>C -19-20-126-007</t>
  </si>
  <si>
    <t>4535 GRINDLEY CT</t>
  </si>
  <si>
    <t>C -19-20-126-018</t>
  </si>
  <si>
    <t>1504 SODON LAKE DR</t>
  </si>
  <si>
    <t>C -19-20-126-026</t>
  </si>
  <si>
    <t>1490 SODON LAKE DR</t>
  </si>
  <si>
    <t>C -19-20-126-032</t>
  </si>
  <si>
    <t>1466 SODON CT</t>
  </si>
  <si>
    <t>C -19-20-126-033</t>
  </si>
  <si>
    <t>1462 SODON CT</t>
  </si>
  <si>
    <t>C -19-20-126-039</t>
  </si>
  <si>
    <t>1408 SODON LAKE DR</t>
  </si>
  <si>
    <t>C -19-20-128-008</t>
  </si>
  <si>
    <t>4661 MCEWEN DR</t>
  </si>
  <si>
    <t>C -19-20-128-011</t>
  </si>
  <si>
    <t>1465 SODON LAKE DR</t>
  </si>
  <si>
    <t>C -19-17-451-009</t>
  </si>
  <si>
    <t>1330 RAVENWICKE WAY</t>
  </si>
  <si>
    <t>Land Table 20110</t>
  </si>
  <si>
    <t>C -19-20-301-018</t>
  </si>
  <si>
    <t>1555 LONE PINE RD</t>
  </si>
  <si>
    <t>Land Table 20120</t>
  </si>
  <si>
    <t>C -19-20-327-006</t>
  </si>
  <si>
    <t>1495 CLARENDON RD</t>
  </si>
  <si>
    <t>C -19-20-401-011</t>
  </si>
  <si>
    <t>5197 WING LAKE RD</t>
  </si>
  <si>
    <t>Land Table 20130</t>
  </si>
  <si>
    <t>C -19-20-402-011</t>
  </si>
  <si>
    <t>5219 KELLEN CT S</t>
  </si>
  <si>
    <t>C -19-20-402-013</t>
  </si>
  <si>
    <t>5243 KELLEN CT S</t>
  </si>
  <si>
    <t>C -19-20-402-021</t>
  </si>
  <si>
    <t>5128 ECHO RD</t>
  </si>
  <si>
    <t>C -19-20-428-002</t>
  </si>
  <si>
    <t>5075 MIDMOOR RD</t>
  </si>
  <si>
    <t>C -19-20-451-003</t>
  </si>
  <si>
    <t>5305 WING LAKE RD</t>
  </si>
  <si>
    <t>C -19-20-451-009</t>
  </si>
  <si>
    <t>5379 KELLEN LN</t>
  </si>
  <si>
    <t>C -19-20-451-015</t>
  </si>
  <si>
    <t>1343 LAKE CRESCENT DR</t>
  </si>
  <si>
    <t>C -19-20-477-011</t>
  </si>
  <si>
    <t>5341 FOREST WAY</t>
  </si>
  <si>
    <t>C -19-20-477-012</t>
  </si>
  <si>
    <t>5371 FOREST WAY</t>
  </si>
  <si>
    <t>C -19-20-477-018</t>
  </si>
  <si>
    <t>5443 FOREST WAY</t>
  </si>
  <si>
    <t>C -19-20-227-009</t>
  </si>
  <si>
    <t>1239 HIDDEN LAKE DR</t>
  </si>
  <si>
    <t>Land Table 20140</t>
  </si>
  <si>
    <t>C -19-20-226-016</t>
  </si>
  <si>
    <t>4839 W WICKFORD</t>
  </si>
  <si>
    <t>Land Table 20200</t>
  </si>
  <si>
    <t>C -19-20-226-017</t>
  </si>
  <si>
    <t>4851 W WICKFORD</t>
  </si>
  <si>
    <t>C -19-20-226-033</t>
  </si>
  <si>
    <t>1165 BANBURY CIR</t>
  </si>
  <si>
    <t>C -19-20-226-053</t>
  </si>
  <si>
    <t>4547 KIFTSGATE BND</t>
  </si>
  <si>
    <t>C -19-20-226-070</t>
  </si>
  <si>
    <t>4674 KIFTSGATE BND</t>
  </si>
  <si>
    <t>C -19-20-226-074</t>
  </si>
  <si>
    <t>4700 W WICKFORD</t>
  </si>
  <si>
    <t>C -19-20-226-080</t>
  </si>
  <si>
    <t>4733 W WICKFORD</t>
  </si>
  <si>
    <t>C -19-20-226-087</t>
  </si>
  <si>
    <t>4771 W WICKFORD</t>
  </si>
  <si>
    <t>C -19-20-226-100</t>
  </si>
  <si>
    <t>1132 WOBURN GRN</t>
  </si>
  <si>
    <t>C -19-20-226-144</t>
  </si>
  <si>
    <t>1258 COTTINGHAM ROW</t>
  </si>
  <si>
    <t>C -19-21-126-002</t>
  </si>
  <si>
    <t>4530 RANCH LN</t>
  </si>
  <si>
    <t>Land Table 21100</t>
  </si>
  <si>
    <t>C -19-21-128-005</t>
  </si>
  <si>
    <t>4567 SUNNINGDALE DR</t>
  </si>
  <si>
    <t>C -19-21-177-003</t>
  </si>
  <si>
    <t>4785 RANCH LN</t>
  </si>
  <si>
    <t>C -19-21-178-011</t>
  </si>
  <si>
    <t>1027 JOANNE CT</t>
  </si>
  <si>
    <t>C -19-21-178-013</t>
  </si>
  <si>
    <t>4821 KEITHDALE LN</t>
  </si>
  <si>
    <t>C -19-21-203-008</t>
  </si>
  <si>
    <t>4524 STONELEIGH RD</t>
  </si>
  <si>
    <t>Land Table 21110</t>
  </si>
  <si>
    <t>C -19-21-227-014</t>
  </si>
  <si>
    <t>840 HARSDALE RD</t>
  </si>
  <si>
    <t>C -19-21-251-004</t>
  </si>
  <si>
    <t>959 W HARSDALE RD</t>
  </si>
  <si>
    <t>C -19-21-252-005</t>
  </si>
  <si>
    <t>4855 ARDMORE DR</t>
  </si>
  <si>
    <t>C -19-21-253-001</t>
  </si>
  <si>
    <t>4800 N HARSDALE RD</t>
  </si>
  <si>
    <t>C -19-21-276-009</t>
  </si>
  <si>
    <t>860 LONE PINE RD</t>
  </si>
  <si>
    <t>C -19-21-401-001</t>
  </si>
  <si>
    <t>5033 DEEP WOOD RD</t>
  </si>
  <si>
    <t>Land Table 21120</t>
  </si>
  <si>
    <t>C -19-21-402-002</t>
  </si>
  <si>
    <t>915 LONE PINE RD</t>
  </si>
  <si>
    <t>C -19-21-402-011</t>
  </si>
  <si>
    <t>5050 PONVALLEY RD</t>
  </si>
  <si>
    <t>C -19-21-451-005</t>
  </si>
  <si>
    <t>980 TIMBERLAKE DR</t>
  </si>
  <si>
    <t>C -19-21-452-009</t>
  </si>
  <si>
    <t>900 TIMBERLAKE DR</t>
  </si>
  <si>
    <t>C -19-21-426-007</t>
  </si>
  <si>
    <t>845 LONE PINE RD</t>
  </si>
  <si>
    <t>Land Table 21130</t>
  </si>
  <si>
    <t>C -19-21-476-018</t>
  </si>
  <si>
    <t>5421 LAUREN CT</t>
  </si>
  <si>
    <t>C -19-21-301-052</t>
  </si>
  <si>
    <t>1176 LONE PINE WOODS DR</t>
  </si>
  <si>
    <t>Land Table 21150</t>
  </si>
  <si>
    <t>C -19-21-301-053</t>
  </si>
  <si>
    <t>1164 LONE PINE WOODS DR</t>
  </si>
  <si>
    <t>C -19-21-301-065</t>
  </si>
  <si>
    <t>1189 LONE PINE WOODS DR</t>
  </si>
  <si>
    <t>C -19-21-301-018</t>
  </si>
  <si>
    <t>1192 ROLLING ACRES DR</t>
  </si>
  <si>
    <t>Land Table 21200</t>
  </si>
  <si>
    <t>C -19-21-301-028</t>
  </si>
  <si>
    <t>1181 ROLLING ACRES DR</t>
  </si>
  <si>
    <t>C -19-21-301-037</t>
  </si>
  <si>
    <t>1187 ROLLING HILLS DR</t>
  </si>
  <si>
    <t>C -19-21-301-040</t>
  </si>
  <si>
    <t>1180 STONECREST DR</t>
  </si>
  <si>
    <t>C -19-21-351-025</t>
  </si>
  <si>
    <t>5180 WOODLANDS TRL</t>
  </si>
  <si>
    <t>Land Table 21210</t>
  </si>
  <si>
    <t>C -19-21-351-040</t>
  </si>
  <si>
    <t>5175 WOODLANDS DR</t>
  </si>
  <si>
    <t>C -19-21-351-044</t>
  </si>
  <si>
    <t>5116 WOODLANDS DR</t>
  </si>
  <si>
    <t>C -19-21-351-055</t>
  </si>
  <si>
    <t>5114 WOODLANDS LN</t>
  </si>
  <si>
    <t>C -19-21-351-060</t>
  </si>
  <si>
    <t>5112 WOODLANDS TRL</t>
  </si>
  <si>
    <t>C -19-21-351-061</t>
  </si>
  <si>
    <t>5106 WOODLANDS TRL</t>
  </si>
  <si>
    <t>C -19-24-127-002</t>
  </si>
  <si>
    <t>4525 CHARING CROSS RD</t>
  </si>
  <si>
    <t>Land Table 24100</t>
  </si>
  <si>
    <t>C -19-24-302-009</t>
  </si>
  <si>
    <t>5165 LONGMEADOW RD</t>
  </si>
  <si>
    <t>C -19-24-226-011</t>
  </si>
  <si>
    <t>4671 BURNLEY DR</t>
  </si>
  <si>
    <t>Land Table 24110</t>
  </si>
  <si>
    <t>C -19-24-226-055</t>
  </si>
  <si>
    <t>933 ROBINHOOD RD</t>
  </si>
  <si>
    <t>C -19-24-226-061</t>
  </si>
  <si>
    <t>3871 N ADAMS RD</t>
  </si>
  <si>
    <t>C -19-24-226-063</t>
  </si>
  <si>
    <t>800 WATTLES RD</t>
  </si>
  <si>
    <t>C -19-24-251-011</t>
  </si>
  <si>
    <t>4880 HADDINGTON DR</t>
  </si>
  <si>
    <t>C -19-24-252-004</t>
  </si>
  <si>
    <t>4731 HADDINGTON DR</t>
  </si>
  <si>
    <t>C -19-24-252-005</t>
  </si>
  <si>
    <t>4751 HADDINGTON DR</t>
  </si>
  <si>
    <t>C -19-24-252-012</t>
  </si>
  <si>
    <t>4891 HADDINGTON DR</t>
  </si>
  <si>
    <t>C -19-24-252-022</t>
  </si>
  <si>
    <t>4860 TULLAMORE DR</t>
  </si>
  <si>
    <t>C -19-24-401-009</t>
  </si>
  <si>
    <t>5104 MOHR VALLEY LN</t>
  </si>
  <si>
    <t>Land Table 24120</t>
  </si>
  <si>
    <t>C -19-24-401-019</t>
  </si>
  <si>
    <t>5111 IRON GATE RD</t>
  </si>
  <si>
    <t>C -19-24-427-008</t>
  </si>
  <si>
    <t>5042 CHAIN BRIDGE RD</t>
  </si>
  <si>
    <t>C -19-24-429-020</t>
  </si>
  <si>
    <t>932 ADAMS CASTLE DR</t>
  </si>
  <si>
    <t>C -19-24-476-021</t>
  </si>
  <si>
    <t>709 KENSINGTON LN</t>
  </si>
  <si>
    <t>C -19-24-276-007</t>
  </si>
  <si>
    <t>750 TENNYSON DOWNS CT</t>
  </si>
  <si>
    <t>Land Table 24130</t>
  </si>
  <si>
    <t>C -19-25-176-009</t>
  </si>
  <si>
    <t>94 MANOR CT</t>
  </si>
  <si>
    <t>Land Table 25100</t>
  </si>
  <si>
    <t>C -19-25-176-045</t>
  </si>
  <si>
    <t>125 MAYWOOD AVE</t>
  </si>
  <si>
    <t>C -19-25-251-025</t>
  </si>
  <si>
    <t>270 HARROW CIR</t>
  </si>
  <si>
    <t>Land Table 25110</t>
  </si>
  <si>
    <t>C -19-25-126-033</t>
  </si>
  <si>
    <t>5587 PINE BROOKE CT</t>
  </si>
  <si>
    <t>Land Table 25200</t>
  </si>
  <si>
    <t>C -19-25-126-034</t>
  </si>
  <si>
    <t>5579 PINE BROOKE CT</t>
  </si>
  <si>
    <t>C -19-25-126-038</t>
  </si>
  <si>
    <t>5584 PINE BROOKE CT</t>
  </si>
  <si>
    <t>C -19-27-101-018</t>
  </si>
  <si>
    <t>3633 YORK CT</t>
  </si>
  <si>
    <t>Land Table 27100</t>
  </si>
  <si>
    <t>C -19-27-102-007</t>
  </si>
  <si>
    <t>3522 MAXWELL CT</t>
  </si>
  <si>
    <t>C -19-27-103-001</t>
  </si>
  <si>
    <t>3681 MAXWELL CT</t>
  </si>
  <si>
    <t>C -19-27-103-005</t>
  </si>
  <si>
    <t>3575 MAXWELL CT</t>
  </si>
  <si>
    <t>C -19-27-151-003</t>
  </si>
  <si>
    <t>3645 DARCY DR</t>
  </si>
  <si>
    <t>C -19-27-153-009</t>
  </si>
  <si>
    <t>3546 BLOOMFIELD CLUB DR</t>
  </si>
  <si>
    <t>C -19-27-153-025</t>
  </si>
  <si>
    <t>3585 BLOOMFIELD CLUB DR</t>
  </si>
  <si>
    <t>C -19-27-355-014</t>
  </si>
  <si>
    <t>165 VORN LN</t>
  </si>
  <si>
    <t>C -19-27-101-004</t>
  </si>
  <si>
    <t>1521 CHARRINGTON RD</t>
  </si>
  <si>
    <t>Land Table 27120</t>
  </si>
  <si>
    <t>C -19-27-101-006</t>
  </si>
  <si>
    <t>3492 SUTTON PL</t>
  </si>
  <si>
    <t>C -19-27-126-001</t>
  </si>
  <si>
    <t>1550 CHARRINGTON RD</t>
  </si>
  <si>
    <t>C -19-27-126-021</t>
  </si>
  <si>
    <t>1525 ARDMOOR DR</t>
  </si>
  <si>
    <t>C -19-27-126-029</t>
  </si>
  <si>
    <t>1201 ARDMOOR DR</t>
  </si>
  <si>
    <t>C -19-27-126-038</t>
  </si>
  <si>
    <t>1537 QUARTON RIDGE CIR</t>
  </si>
  <si>
    <t>C -19-27-127-006</t>
  </si>
  <si>
    <t>1346 ARDMOOR DR</t>
  </si>
  <si>
    <t>C -19-27-176-010</t>
  </si>
  <si>
    <t>1105 CHARRINGTON RD</t>
  </si>
  <si>
    <t>C -19-27-176-012</t>
  </si>
  <si>
    <t>941 CHARRINGTON RD</t>
  </si>
  <si>
    <t>C -19-27-177-006</t>
  </si>
  <si>
    <t>1198 CHARRINGTON RD</t>
  </si>
  <si>
    <t>C -19-27-177-018</t>
  </si>
  <si>
    <t>1163 STUYVESSANT RD</t>
  </si>
  <si>
    <t>C -19-27-177-019</t>
  </si>
  <si>
    <t>1131 STUYVESSANT RD</t>
  </si>
  <si>
    <t>C -19-27-177-021</t>
  </si>
  <si>
    <t>975 STUYVESSANT RD</t>
  </si>
  <si>
    <t>C -19-26-101-008</t>
  </si>
  <si>
    <t>1379 N CRANBROOK RD</t>
  </si>
  <si>
    <t>Land Table 27130</t>
  </si>
  <si>
    <t>C -19-26-102-007</t>
  </si>
  <si>
    <t>1435 N CRANBROOK RD</t>
  </si>
  <si>
    <t>C -19-26-151-018</t>
  </si>
  <si>
    <t>1023 YARMOUTH RD</t>
  </si>
  <si>
    <t>C -19-26-153-007</t>
  </si>
  <si>
    <t>965 N CRANBROOK RD</t>
  </si>
  <si>
    <t>C -19-26-301-006</t>
  </si>
  <si>
    <t>600 COVINGTON RD</t>
  </si>
  <si>
    <t>C -19-26-301-008</t>
  </si>
  <si>
    <t>528 COVINGTON RD</t>
  </si>
  <si>
    <t>C -19-26-301-017</t>
  </si>
  <si>
    <t>473 N CRANBROOK RD</t>
  </si>
  <si>
    <t>C -19-26-302-006</t>
  </si>
  <si>
    <t>700 YARMOUTH RD</t>
  </si>
  <si>
    <t>C -19-26-302-008</t>
  </si>
  <si>
    <t>616 YARMOUTH RD</t>
  </si>
  <si>
    <t>C -19-26-302-016</t>
  </si>
  <si>
    <t>527 N CRANBROOK RD</t>
  </si>
  <si>
    <t>C -19-26-303-018</t>
  </si>
  <si>
    <t>2258 PINE ST</t>
  </si>
  <si>
    <t>C -19-26-351-008</t>
  </si>
  <si>
    <t>272 N CRANBROOK RD</t>
  </si>
  <si>
    <t>C -19-26-351-017</t>
  </si>
  <si>
    <t>2450 S BRADWAY BLVD</t>
  </si>
  <si>
    <t>C -19-26-352-013</t>
  </si>
  <si>
    <t>2364 TILBURY PL</t>
  </si>
  <si>
    <t>C -19-26-353-009</t>
  </si>
  <si>
    <t>344 TILBURY RD</t>
  </si>
  <si>
    <t>C -19-26-355-004</t>
  </si>
  <si>
    <t>2327 TILBURY PL</t>
  </si>
  <si>
    <t>C -19-26-355-016</t>
  </si>
  <si>
    <t>135 WADDINGTON RD</t>
  </si>
  <si>
    <t>C -19-26-355-024</t>
  </si>
  <si>
    <t>2363 TILBURY PL</t>
  </si>
  <si>
    <t>C -19-26-376-003</t>
  </si>
  <si>
    <t>419 WESTWOOD DR</t>
  </si>
  <si>
    <t>C -19-26-376-012</t>
  </si>
  <si>
    <t>165 WESTWOOD DR</t>
  </si>
  <si>
    <t>C -19-26-378-006</t>
  </si>
  <si>
    <t>300 N GLENHURST DR</t>
  </si>
  <si>
    <t>C -19-26-378-007</t>
  </si>
  <si>
    <t>280 N GLENHURST DR</t>
  </si>
  <si>
    <t>C -19-27-201-012</t>
  </si>
  <si>
    <t>1419 SANDRINGHAM WAY</t>
  </si>
  <si>
    <t>C -19-27-201-017</t>
  </si>
  <si>
    <t>1339 ABERDOVEY PL</t>
  </si>
  <si>
    <t>C -19-27-202-016</t>
  </si>
  <si>
    <t>1471 N GLENGARRY RD</t>
  </si>
  <si>
    <t>C -19-27-202-019</t>
  </si>
  <si>
    <t>1333 N GLENGARRY RD</t>
  </si>
  <si>
    <t>C -19-27-203-008</t>
  </si>
  <si>
    <t>1234 N GLENGARRY RD</t>
  </si>
  <si>
    <t>C -19-27-227-008</t>
  </si>
  <si>
    <t>1343 INDIAN MOUND TRL</t>
  </si>
  <si>
    <t>C -19-27-252-005</t>
  </si>
  <si>
    <t>1123 E GLENGARRY CIR</t>
  </si>
  <si>
    <t>C -19-27-276-006</t>
  </si>
  <si>
    <t>2555 INDIAN MOUND RD</t>
  </si>
  <si>
    <t>C -19-27-276-011</t>
  </si>
  <si>
    <t>2727 INDIAN MOUND RD</t>
  </si>
  <si>
    <t>C -19-27-276-014</t>
  </si>
  <si>
    <t>2750 INDIAN MOUND S</t>
  </si>
  <si>
    <t>C -19-27-276-055</t>
  </si>
  <si>
    <t>2590 KENT RIDGE CT</t>
  </si>
  <si>
    <t>C -19-27-276-060</t>
  </si>
  <si>
    <t>2551 KENT RIDGE CT</t>
  </si>
  <si>
    <t>C -19-27-276-062</t>
  </si>
  <si>
    <t>2537 INDIAN MOUND RD</t>
  </si>
  <si>
    <t>C -19-27-301-011</t>
  </si>
  <si>
    <t>3480 BURNING BUSH RD</t>
  </si>
  <si>
    <t>C -19-27-302-018</t>
  </si>
  <si>
    <t>783 HALF MOON RD</t>
  </si>
  <si>
    <t>C -19-27-302-022</t>
  </si>
  <si>
    <t>683 HALF MOON RD</t>
  </si>
  <si>
    <t>C -19-27-302-024</t>
  </si>
  <si>
    <t>635 HALF MOON RD</t>
  </si>
  <si>
    <t>C -19-27-303-001</t>
  </si>
  <si>
    <t>3575 BURNING BUSH RD</t>
  </si>
  <si>
    <t>C -19-27-303-003</t>
  </si>
  <si>
    <t>3559 BURNING BUSH RD</t>
  </si>
  <si>
    <t>C -19-27-303-005</t>
  </si>
  <si>
    <t>3535 BURNING BUSH RD</t>
  </si>
  <si>
    <t>C -19-27-303-011</t>
  </si>
  <si>
    <t>783 WOODDALE RD</t>
  </si>
  <si>
    <t>C -19-27-305-021</t>
  </si>
  <si>
    <t>430 WOODDALE RD</t>
  </si>
  <si>
    <t>C -19-27-327-013</t>
  </si>
  <si>
    <t>516 HUPP CROSS RD</t>
  </si>
  <si>
    <t>C -19-27-327-030</t>
  </si>
  <si>
    <t>3330 S BRADWAY BLVD</t>
  </si>
  <si>
    <t>C -19-27-328-008</t>
  </si>
  <si>
    <t>564 OVERHILL RD</t>
  </si>
  <si>
    <t>C -19-27-328-014</t>
  </si>
  <si>
    <t>3160 S BRADWAY BLVD</t>
  </si>
  <si>
    <t>C -19-27-351-006</t>
  </si>
  <si>
    <t>3585 ROLAND DR</t>
  </si>
  <si>
    <t>C -19-27-351-013</t>
  </si>
  <si>
    <t>3624 TUCKAHOE RD</t>
  </si>
  <si>
    <t>C -19-27-354-002</t>
  </si>
  <si>
    <t>3535 S BRADWAY BLVD</t>
  </si>
  <si>
    <t>C -19-27-354-003</t>
  </si>
  <si>
    <t>3501 S BRADWAY BLVD</t>
  </si>
  <si>
    <t>C -19-27-376-001</t>
  </si>
  <si>
    <t>340 HUPP CROSS RD</t>
  </si>
  <si>
    <t>C -19-27-376-002</t>
  </si>
  <si>
    <t>3355 S BRADWAY BLVD</t>
  </si>
  <si>
    <t>C -19-27-377-004</t>
  </si>
  <si>
    <t>3233 S BRADWAY BLVD</t>
  </si>
  <si>
    <t>C -19-27-377-006</t>
  </si>
  <si>
    <t>3187 S BRADWAY BLVD</t>
  </si>
  <si>
    <t>C -19-27-377-012</t>
  </si>
  <si>
    <t>3270 MORNINGVIEW TER</t>
  </si>
  <si>
    <t>C -19-27-377-021</t>
  </si>
  <si>
    <t>515 HAMILTON RD</t>
  </si>
  <si>
    <t>C -19-27-379-002</t>
  </si>
  <si>
    <t>150 DRURY LN</t>
  </si>
  <si>
    <t>C -19-27-379-003</t>
  </si>
  <si>
    <t>130 DRURY LN</t>
  </si>
  <si>
    <t>C -19-27-380-001</t>
  </si>
  <si>
    <t>172 OVERHILL RD</t>
  </si>
  <si>
    <t>C -19-27-401-003</t>
  </si>
  <si>
    <t>777 N WILLIAMSBURY RD</t>
  </si>
  <si>
    <t>C -19-27-401-007</t>
  </si>
  <si>
    <t>654 HAMILTON RD</t>
  </si>
  <si>
    <t>C -19-27-402-009</t>
  </si>
  <si>
    <t>635 N GLENGARRY RD</t>
  </si>
  <si>
    <t>C -19-27-402-011</t>
  </si>
  <si>
    <t>555 N GLENGARRY RD</t>
  </si>
  <si>
    <t>C -19-27-404-010</t>
  </si>
  <si>
    <t>2955 S BRADWAY BLVD</t>
  </si>
  <si>
    <t>C -19-27-404-015</t>
  </si>
  <si>
    <t>411 N GLENGARRY RD</t>
  </si>
  <si>
    <t>C -19-27-426-009</t>
  </si>
  <si>
    <t>2664 AMBERLY RD</t>
  </si>
  <si>
    <t>C -19-27-427-009</t>
  </si>
  <si>
    <t>2611 AMBERLY RD</t>
  </si>
  <si>
    <t>C -19-27-429-009</t>
  </si>
  <si>
    <t>2591 COVINGTON PL</t>
  </si>
  <si>
    <t>C -19-27-429-012</t>
  </si>
  <si>
    <t>2535 COVINGTON PL</t>
  </si>
  <si>
    <t>C -19-27-429-017</t>
  </si>
  <si>
    <t>2780 S BRADWAY BLVD</t>
  </si>
  <si>
    <t>C -19-27-452-002</t>
  </si>
  <si>
    <t>356 N CLIFTON RD</t>
  </si>
  <si>
    <t>C -19-27-478-005</t>
  </si>
  <si>
    <t>204 N WILLIAMSBURY RD</t>
  </si>
  <si>
    <t>C -19-27-479-002</t>
  </si>
  <si>
    <t>330 N CRANBROOK CROSS RD</t>
  </si>
  <si>
    <t>C -19-27-479-006</t>
  </si>
  <si>
    <t>182 N GLENGARRY RD</t>
  </si>
  <si>
    <t>C -19-26-126-003</t>
  </si>
  <si>
    <t>2025 QUARTON RD</t>
  </si>
  <si>
    <t>Land Table 27131</t>
  </si>
  <si>
    <t>C -19-28-201-015</t>
  </si>
  <si>
    <t>5622 LANE LAKE CT</t>
  </si>
  <si>
    <t>Land Table 28110</t>
  </si>
  <si>
    <t>C -19-28-202-016</t>
  </si>
  <si>
    <t>3826 MARR CT</t>
  </si>
  <si>
    <t>Land Table 28120</t>
  </si>
  <si>
    <t>C -19-28-202-020</t>
  </si>
  <si>
    <t>3870 SHELLMARR LN</t>
  </si>
  <si>
    <t>C -19-28-226-002</t>
  </si>
  <si>
    <t>3773 SHELLMARR LN</t>
  </si>
  <si>
    <t>C -19-28-226-003</t>
  </si>
  <si>
    <t>3781 SHELLMARR LN</t>
  </si>
  <si>
    <t>C -19-28-226-008</t>
  </si>
  <si>
    <t>3853 SHELLMARR LN</t>
  </si>
  <si>
    <t>C -19-28-226-014</t>
  </si>
  <si>
    <t>3731 LANE LAKE RD</t>
  </si>
  <si>
    <t>C -19-28-226-022</t>
  </si>
  <si>
    <t>3780 QUARTON RD</t>
  </si>
  <si>
    <t>C -19-28-227-006</t>
  </si>
  <si>
    <t>3733 QUARTON RD</t>
  </si>
  <si>
    <t>C -19-28-227-013</t>
  </si>
  <si>
    <t>3775 QUARTON RD</t>
  </si>
  <si>
    <t>C -19-28-227-021</t>
  </si>
  <si>
    <t>5656 ROUNDHILL RD</t>
  </si>
  <si>
    <t>C -19-28-276-003</t>
  </si>
  <si>
    <t>3779 PEABODY DR</t>
  </si>
  <si>
    <t>C -19-28-276-004</t>
  </si>
  <si>
    <t>3767 PEABODY DR</t>
  </si>
  <si>
    <t>C -19-28-151-002</t>
  </si>
  <si>
    <t>5730 BURNHAM RD</t>
  </si>
  <si>
    <t>Land Table 28130</t>
  </si>
  <si>
    <t>C -19-28-152-003</t>
  </si>
  <si>
    <t>5791 BURNHAM RD</t>
  </si>
  <si>
    <t>C -19-28-152-017</t>
  </si>
  <si>
    <t>5956 BLANDFORD RD</t>
  </si>
  <si>
    <t>C -19-28-153-007</t>
  </si>
  <si>
    <t>5839 BLANDFORD CT</t>
  </si>
  <si>
    <t>C -19-28-301-008</t>
  </si>
  <si>
    <t>6111 THORNCREST DR</t>
  </si>
  <si>
    <t>C -19-28-301-026</t>
  </si>
  <si>
    <t>4016 BLACKTHORN CT</t>
  </si>
  <si>
    <t>C -19-28-176-014</t>
  </si>
  <si>
    <t>5890 SNOWSHOE CIR</t>
  </si>
  <si>
    <t>Land Table 28140</t>
  </si>
  <si>
    <t>C -19-28-301-033</t>
  </si>
  <si>
    <t>6446 HILLS DR</t>
  </si>
  <si>
    <t>Land Table 28150</t>
  </si>
  <si>
    <t>C -19-28-251-002</t>
  </si>
  <si>
    <t>3881 QUARTON RD</t>
  </si>
  <si>
    <t>Land Table 28160</t>
  </si>
  <si>
    <t>C -19-28-401-010</t>
  </si>
  <si>
    <t>5970 ORCHARD BND</t>
  </si>
  <si>
    <t>C -19-28-402-002</t>
  </si>
  <si>
    <t>5901 E MILLER WAY RD</t>
  </si>
  <si>
    <t>C -19-28-277-014</t>
  </si>
  <si>
    <t>3730 S DARLINGTON RD</t>
  </si>
  <si>
    <t>Land Table 28170</t>
  </si>
  <si>
    <t>C -19-28-451-018</t>
  </si>
  <si>
    <t>3760 W MAPLE RD</t>
  </si>
  <si>
    <t>Land Table 28180</t>
  </si>
  <si>
    <t>C -19-28-451-019</t>
  </si>
  <si>
    <t>3752 W MAPLE RD</t>
  </si>
  <si>
    <t>C -19-28-451-025</t>
  </si>
  <si>
    <t>6470 GOLFVIEW DR</t>
  </si>
  <si>
    <t>C -19-28-476-002</t>
  </si>
  <si>
    <t>6095 GOLFVIEW DR</t>
  </si>
  <si>
    <t>C -19-33-201-019</t>
  </si>
  <si>
    <t>6520 RED MAPLE LN</t>
  </si>
  <si>
    <t>C -19-21-377-005</t>
  </si>
  <si>
    <t>1045 TIMBERLAKE DR</t>
  </si>
  <si>
    <t>Land Table 28190</t>
  </si>
  <si>
    <t>C -19-28-127-002</t>
  </si>
  <si>
    <t>5560 LANE LAKE RD</t>
  </si>
  <si>
    <t>C -19-28-203-013</t>
  </si>
  <si>
    <t>3935 SHELLMARR LN</t>
  </si>
  <si>
    <t>C -19-28-102-015</t>
  </si>
  <si>
    <t>5651 S ADAMS WAY</t>
  </si>
  <si>
    <t>Land Table 28200</t>
  </si>
  <si>
    <t>C -19-28-102-023</t>
  </si>
  <si>
    <t>4085 JUSTIN CT</t>
  </si>
  <si>
    <t>C -19-28-102-025</t>
  </si>
  <si>
    <t>4077 JUSTIN CT</t>
  </si>
  <si>
    <t>C -19-28-102-031</t>
  </si>
  <si>
    <t>4090 JUSTIN CT</t>
  </si>
  <si>
    <t>C -19-28-102-044</t>
  </si>
  <si>
    <t>5592 N ADAMS WAY</t>
  </si>
  <si>
    <t>C -19-28-451-027</t>
  </si>
  <si>
    <t>6 THE OAKS</t>
  </si>
  <si>
    <t>Land Table 28202</t>
  </si>
  <si>
    <t>C -19-28-303-001</t>
  </si>
  <si>
    <t>4091 CRANBROOK CT</t>
  </si>
  <si>
    <t>Land Table 28204</t>
  </si>
  <si>
    <t>C -19-28-303-021</t>
  </si>
  <si>
    <t>4078 CRANBROOK CT</t>
  </si>
  <si>
    <t>C -19-29-151-010</t>
  </si>
  <si>
    <t>5625 FORMAN DR</t>
  </si>
  <si>
    <t>Land Table 29100</t>
  </si>
  <si>
    <t>C -19-29-301-019</t>
  </si>
  <si>
    <t>6307 DAKOTA CIR</t>
  </si>
  <si>
    <t>C -19-29-201-007</t>
  </si>
  <si>
    <t>5617 KOLLY RD</t>
  </si>
  <si>
    <t>Land Table 29110</t>
  </si>
  <si>
    <t>C -19-29-202-006</t>
  </si>
  <si>
    <t>5559 WESTWOOD LN</t>
  </si>
  <si>
    <t>C -19-29-202-015</t>
  </si>
  <si>
    <t>5653 KOLLY RD</t>
  </si>
  <si>
    <t>C -19-29-202-016</t>
  </si>
  <si>
    <t>5649 KOLLY RD</t>
  </si>
  <si>
    <t>C -19-29-252-009</t>
  </si>
  <si>
    <t>5875 WINGCROFT CT</t>
  </si>
  <si>
    <t>C -19-29-377-005</t>
  </si>
  <si>
    <t>6383 WING LAKE RD</t>
  </si>
  <si>
    <t>C -19-29-402-017</t>
  </si>
  <si>
    <t>6245 WORLINGTON RD</t>
  </si>
  <si>
    <t>C -19-29-402-019</t>
  </si>
  <si>
    <t>6277 WORLINGTON RD</t>
  </si>
  <si>
    <t>C -19-29-402-038</t>
  </si>
  <si>
    <t>6165 WORLINGTON RD</t>
  </si>
  <si>
    <t>C -19-29-402-039</t>
  </si>
  <si>
    <t>6175 WORLINGTON RD</t>
  </si>
  <si>
    <t>C -19-29-402-041</t>
  </si>
  <si>
    <t>6195 WORLINGTON RD</t>
  </si>
  <si>
    <t>C -19-29-452-004</t>
  </si>
  <si>
    <t>6415 THURBER RD</t>
  </si>
  <si>
    <t>C -19-29-452-006</t>
  </si>
  <si>
    <t>6485 THURBER RD</t>
  </si>
  <si>
    <t>C -19-29-151-002</t>
  </si>
  <si>
    <t>5525 FORMAN DR</t>
  </si>
  <si>
    <t>Land Table 29118</t>
  </si>
  <si>
    <t>C -19-29-226-023</t>
  </si>
  <si>
    <t>5760 CRABTREE RD</t>
  </si>
  <si>
    <t>Land Table 29120</t>
  </si>
  <si>
    <t>C -19-29-227-025</t>
  </si>
  <si>
    <t>5660 WOODLAND PASS</t>
  </si>
  <si>
    <t>C -19-29-276-004</t>
  </si>
  <si>
    <t>4131 MEADOW WAY</t>
  </si>
  <si>
    <t>C -19-29-276-017</t>
  </si>
  <si>
    <t>4115 POMONA COLONY ST</t>
  </si>
  <si>
    <t>C -19-29-404-001</t>
  </si>
  <si>
    <t>6015 E SURREY RD</t>
  </si>
  <si>
    <t>C -19-29-453-011</t>
  </si>
  <si>
    <t>6390 W SURREY RD</t>
  </si>
  <si>
    <t>C -19-29-454-010</t>
  </si>
  <si>
    <t>6310 E SURREY RD</t>
  </si>
  <si>
    <t>C -19-29-455-005</t>
  </si>
  <si>
    <t>6335 E SURREY RD</t>
  </si>
  <si>
    <t>C -19-29-476-001</t>
  </si>
  <si>
    <t>4185 ORCHARD WAY</t>
  </si>
  <si>
    <t>C -19-29-476-058</t>
  </si>
  <si>
    <t>550 BILLINGSGATE CT APT A</t>
  </si>
  <si>
    <t>Land Table 29200</t>
  </si>
  <si>
    <t>C -19-29-476-059</t>
  </si>
  <si>
    <t>550 BILLINGSGATE CT APT D</t>
  </si>
  <si>
    <t>C -19-29-476-070</t>
  </si>
  <si>
    <t>750 TRAILWOOD PATH APT C</t>
  </si>
  <si>
    <t>C -19-29-476-079</t>
  </si>
  <si>
    <t>900 TRAILWOOD PATH</t>
  </si>
  <si>
    <t>C -19-29-476-101</t>
  </si>
  <si>
    <t>1250 TRAILWOOD PATH APT B</t>
  </si>
  <si>
    <t>C -19-29-476-111</t>
  </si>
  <si>
    <t>1450 TRAILWOOD PATH APT D</t>
  </si>
  <si>
    <t>C -19-29-476-117</t>
  </si>
  <si>
    <t>1550 TRAILWOOD PATH APT D</t>
  </si>
  <si>
    <t>C -19-29-476-120</t>
  </si>
  <si>
    <t>1560 TRAILWOOD PATH</t>
  </si>
  <si>
    <t>C -19-33-101-021</t>
  </si>
  <si>
    <t>4049 W MAPLE RD # A-202</t>
  </si>
  <si>
    <t>Land Table 29202</t>
  </si>
  <si>
    <t>C -19-33-101-024</t>
  </si>
  <si>
    <t>4049 W MAPLE RD # A-205</t>
  </si>
  <si>
    <t>C -19-33-101-032</t>
  </si>
  <si>
    <t>4047 W MAPLE RD # B-203</t>
  </si>
  <si>
    <t>C -19-33-101-034</t>
  </si>
  <si>
    <t>4045 W MAPLE RD # C-101</t>
  </si>
  <si>
    <t>C -19-33-101-041</t>
  </si>
  <si>
    <t>4045 W MAPLE RD # C-204</t>
  </si>
  <si>
    <t>C -19-33-101-050</t>
  </si>
  <si>
    <t>4041 W MAPLE RD # E-101</t>
  </si>
  <si>
    <t>C -19-33-101-056</t>
  </si>
  <si>
    <t>4041 W MAPLE RD # E-203</t>
  </si>
  <si>
    <t>C -19-30-101-008</t>
  </si>
  <si>
    <t>4890 BALLANTRAE RD</t>
  </si>
  <si>
    <t>Land Table 30100</t>
  </si>
  <si>
    <t>C -19-30-151-004</t>
  </si>
  <si>
    <t>4885 LOCH LOMOND DR</t>
  </si>
  <si>
    <t>C -19-30-154-009</t>
  </si>
  <si>
    <t>5743 KENMOOR RD</t>
  </si>
  <si>
    <t>C -19-30-376-014</t>
  </si>
  <si>
    <t>4721 HEATHER LN</t>
  </si>
  <si>
    <t>C -19-30-376-016</t>
  </si>
  <si>
    <t>6300 NORHAM RD</t>
  </si>
  <si>
    <t>C -19-30-376-018</t>
  </si>
  <si>
    <t>4717 HEATHER LN</t>
  </si>
  <si>
    <t>C -19-30-376-019</t>
  </si>
  <si>
    <t>4700 HEATHER LN</t>
  </si>
  <si>
    <t>C -19-30-452-008</t>
  </si>
  <si>
    <t>6041 EASTMOOR RD</t>
  </si>
  <si>
    <t>C -19-30-452-012</t>
  </si>
  <si>
    <t>6125 EASTMOOR RD</t>
  </si>
  <si>
    <t>C -19-30-126-005</t>
  </si>
  <si>
    <t>4753 QUARTON RD</t>
  </si>
  <si>
    <t>Land Table 30110</t>
  </si>
  <si>
    <t>C -19-30-127-015</t>
  </si>
  <si>
    <t>5623 RAVEN CT</t>
  </si>
  <si>
    <t>C -19-30-128-003</t>
  </si>
  <si>
    <t>5581 WOODWIND DR</t>
  </si>
  <si>
    <t>C -19-30-128-007</t>
  </si>
  <si>
    <t>5631 WOODWIND DR</t>
  </si>
  <si>
    <t>C -19-30-128-009</t>
  </si>
  <si>
    <t>5707 WOODWIND DR</t>
  </si>
  <si>
    <t>C -19-30-128-013</t>
  </si>
  <si>
    <t>5527 RAVEN RD</t>
  </si>
  <si>
    <t>C -19-30-128-014</t>
  </si>
  <si>
    <t>5546 KINGSMILL DR</t>
  </si>
  <si>
    <t>C -19-30-201-002</t>
  </si>
  <si>
    <t>5547 KINGSMILL DR</t>
  </si>
  <si>
    <t>C -19-30-202-003</t>
  </si>
  <si>
    <t>4675 QUARTON RD</t>
  </si>
  <si>
    <t>C -19-30-203-014</t>
  </si>
  <si>
    <t>5562 PEBBLESHIRE RD</t>
  </si>
  <si>
    <t>C -19-30-203-016</t>
  </si>
  <si>
    <t>5634 PEBBLESHIRE RD</t>
  </si>
  <si>
    <t>C -19-30-226-006</t>
  </si>
  <si>
    <t>5536 FARMERS CT</t>
  </si>
  <si>
    <t>C -19-30-228-006</t>
  </si>
  <si>
    <t>5540 FRANKLIN RD</t>
  </si>
  <si>
    <t>C -19-30-228-007</t>
  </si>
  <si>
    <t>5560 FRANKLIN RD</t>
  </si>
  <si>
    <t>C -19-30-228-011</t>
  </si>
  <si>
    <t>4516 WAGON WHEEL DR</t>
  </si>
  <si>
    <t>C -19-30-251-012</t>
  </si>
  <si>
    <t>5874 PENTLAND RD</t>
  </si>
  <si>
    <t>C -19-30-276-004</t>
  </si>
  <si>
    <t>4561 BROUGHTON DR</t>
  </si>
  <si>
    <t>C -19-30-276-007</t>
  </si>
  <si>
    <t>4517 BROUGHTON DR</t>
  </si>
  <si>
    <t>C -19-30-176-007</t>
  </si>
  <si>
    <t>4749 HEDGEWOOD DR</t>
  </si>
  <si>
    <t>Land Table 30112</t>
  </si>
  <si>
    <t>C -19-30-176-025</t>
  </si>
  <si>
    <t>5886 SUTTERS LN</t>
  </si>
  <si>
    <t>C -19-30-226-020</t>
  </si>
  <si>
    <t>5564 VILLAGE LN</t>
  </si>
  <si>
    <t>Land Table 30120</t>
  </si>
  <si>
    <t>C -19-30-226-021</t>
  </si>
  <si>
    <t>5580 VILLAGE LN</t>
  </si>
  <si>
    <t>C -19-30-226-023</t>
  </si>
  <si>
    <t>5533 VILLAGE LN</t>
  </si>
  <si>
    <t>C -19-30-276-020</t>
  </si>
  <si>
    <t>4560 WALDEN DR</t>
  </si>
  <si>
    <t>Land Table 30130</t>
  </si>
  <si>
    <t>C -19-30-276-025</t>
  </si>
  <si>
    <t>4530 WALDEN DR</t>
  </si>
  <si>
    <t>C -19-30-276-026</t>
  </si>
  <si>
    <t>4524 WALDEN DR</t>
  </si>
  <si>
    <t>C -19-30-426-008</t>
  </si>
  <si>
    <t>4546 NIAGARA LN</t>
  </si>
  <si>
    <t>Land Table 30150</t>
  </si>
  <si>
    <t>C -19-30-427-001</t>
  </si>
  <si>
    <t>6023 INDIANWOOD TRL</t>
  </si>
  <si>
    <t>C -19-30-476-020</t>
  </si>
  <si>
    <t>4550 W MAPLE RD</t>
  </si>
  <si>
    <t>C -19-30-476-023</t>
  </si>
  <si>
    <t>4510 W MAPLE RD</t>
  </si>
  <si>
    <t>C -19-30-477-009</t>
  </si>
  <si>
    <t>6150 FRANKLIN RD</t>
  </si>
  <si>
    <t>C -19-30-477-014</t>
  </si>
  <si>
    <t>4511 LAKEVIEW CT</t>
  </si>
  <si>
    <t>C -19-31-226-005</t>
  </si>
  <si>
    <t>6660 INDIANWOOD TRL</t>
  </si>
  <si>
    <t>C -19-31-226-007</t>
  </si>
  <si>
    <t>6730 INDIANWOOD TRL</t>
  </si>
  <si>
    <t>C -19-31-226-008</t>
  </si>
  <si>
    <t>6760 ORINOCO CIR</t>
  </si>
  <si>
    <t>C -19-31-226-014</t>
  </si>
  <si>
    <t>6870 ORINOCO CIR</t>
  </si>
  <si>
    <t>C -19-31-276-006</t>
  </si>
  <si>
    <t>6750 FRANKLIN RD</t>
  </si>
  <si>
    <t>C -19-31-276-008</t>
  </si>
  <si>
    <t>6861 ORINOCO CIR</t>
  </si>
  <si>
    <t>C -19-32-101-002</t>
  </si>
  <si>
    <t>4469 W MAPLE RD</t>
  </si>
  <si>
    <t>C -19-32-101-012</t>
  </si>
  <si>
    <t>4385 SLY CT</t>
  </si>
  <si>
    <t>C -19-32-101-014</t>
  </si>
  <si>
    <t>6619 VACHON CT</t>
  </si>
  <si>
    <t>C -19-32-101-029</t>
  </si>
  <si>
    <t>4421 W MAPLE RD</t>
  </si>
  <si>
    <t>C -19-32-151-010</t>
  </si>
  <si>
    <t>6670 VACHON CT</t>
  </si>
  <si>
    <t>C -19-30-351-067</t>
  </si>
  <si>
    <t>4797 APPLE GROVE CT</t>
  </si>
  <si>
    <t>Land Table 30200</t>
  </si>
  <si>
    <t>C -19-30-351-010</t>
  </si>
  <si>
    <t>6461 MAPLE HILLS DR</t>
  </si>
  <si>
    <t>Land Table 30202</t>
  </si>
  <si>
    <t>C -19-30-351-017</t>
  </si>
  <si>
    <t>6493 MAPLE HILLS DR</t>
  </si>
  <si>
    <t>C -19-30-351-029</t>
  </si>
  <si>
    <t>6435 MAPLE HILLS DR</t>
  </si>
  <si>
    <t>C -19-30-351-049</t>
  </si>
  <si>
    <t>6453 MAPLE HILLS DR</t>
  </si>
  <si>
    <t>C -19-31-128-029</t>
  </si>
  <si>
    <t>6794 VALLEY SPRING RD</t>
  </si>
  <si>
    <t>Land Table 31100</t>
  </si>
  <si>
    <t>C -19-31-128-035</t>
  </si>
  <si>
    <t>6926 VALLEY SPRING RD</t>
  </si>
  <si>
    <t>C -19-31-103-012</t>
  </si>
  <si>
    <t>Land Table 31110</t>
  </si>
  <si>
    <t>C -19-31-103-013</t>
  </si>
  <si>
    <t>C -19-31-103-014</t>
  </si>
  <si>
    <t>C -19-31-152-003</t>
  </si>
  <si>
    <t>4867 WYE OAK RD</t>
  </si>
  <si>
    <t>C -19-31-152-006</t>
  </si>
  <si>
    <t>4823 WYE OAK RD</t>
  </si>
  <si>
    <t>C -19-31-153-025</t>
  </si>
  <si>
    <t>6895 HALYARD RD</t>
  </si>
  <si>
    <t>C -19-31-153-028</t>
  </si>
  <si>
    <t>6955 HALYARD RD</t>
  </si>
  <si>
    <t>C -19-31-202-019</t>
  </si>
  <si>
    <t>6570 CASTLE DR</t>
  </si>
  <si>
    <t>C -19-31-202-023</t>
  </si>
  <si>
    <t>6690 CASTLE DR</t>
  </si>
  <si>
    <t>C -19-31-202-033</t>
  </si>
  <si>
    <t>6998 CASTLE DR</t>
  </si>
  <si>
    <t>C -19-31-302-002</t>
  </si>
  <si>
    <t>7119 LINDENMERE DR</t>
  </si>
  <si>
    <t>C -19-31-327-005</t>
  </si>
  <si>
    <t>7189 MEADOWLAKE RD</t>
  </si>
  <si>
    <t>C -19-31-351-009</t>
  </si>
  <si>
    <t>7230 MOHANSIC DR</t>
  </si>
  <si>
    <t>C -19-31-351-015</t>
  </si>
  <si>
    <t>7388 LINDENMERE DR</t>
  </si>
  <si>
    <t>C -19-31-352-007</t>
  </si>
  <si>
    <t>7150 LINDENMERE DR</t>
  </si>
  <si>
    <t>C -19-31-352-009</t>
  </si>
  <si>
    <t>7176 LINDENMERE DR</t>
  </si>
  <si>
    <t>C -19-31-352-014</t>
  </si>
  <si>
    <t>4837 KEW CT</t>
  </si>
  <si>
    <t>C -19-31-352-019</t>
  </si>
  <si>
    <t>7332 LINDENMERE DR</t>
  </si>
  <si>
    <t>C -19-31-353-006</t>
  </si>
  <si>
    <t>7343 LINDENMERE DR</t>
  </si>
  <si>
    <t>C -19-31-401-004</t>
  </si>
  <si>
    <t>4640 PICKERING RD</t>
  </si>
  <si>
    <t>Land Table 31130</t>
  </si>
  <si>
    <t>C -19-31-402-004</t>
  </si>
  <si>
    <t>4635 PICKERING RD</t>
  </si>
  <si>
    <t>C -19-31-402-008</t>
  </si>
  <si>
    <t>4585 PICKERING RD</t>
  </si>
  <si>
    <t>C -19-31-432-002</t>
  </si>
  <si>
    <t>7004 FRANKLIN RD</t>
  </si>
  <si>
    <t>C -19-31-430-001</t>
  </si>
  <si>
    <t>4583 CHELSEA LN</t>
  </si>
  <si>
    <t>Land Table 31140</t>
  </si>
  <si>
    <t>C -19-31-430-007</t>
  </si>
  <si>
    <t>7249 CAMDEN CT</t>
  </si>
  <si>
    <t>C -19-31-451-034</t>
  </si>
  <si>
    <t>4622 CHELSEA LN</t>
  </si>
  <si>
    <t>C -19-31-353-016</t>
  </si>
  <si>
    <t>Land Table 31150</t>
  </si>
  <si>
    <t>C -19-31-427-007</t>
  </si>
  <si>
    <t>4554 PRIVATE LAKE DR</t>
  </si>
  <si>
    <t>C -19-31-303-001</t>
  </si>
  <si>
    <t>7314 MEADOWLAKE HILLS DR</t>
  </si>
  <si>
    <t>Land Table 31200</t>
  </si>
  <si>
    <t>C -19-31-303-015</t>
  </si>
  <si>
    <t>7315 MEADOWLAKE HILLS DR</t>
  </si>
  <si>
    <t>C -19-32-151-015</t>
  </si>
  <si>
    <t>6716 VACHON DR</t>
  </si>
  <si>
    <t>Land Table 32100</t>
  </si>
  <si>
    <t>C -19-32-151-020</t>
  </si>
  <si>
    <t>6756 VACHON DR</t>
  </si>
  <si>
    <t>C -19-32-151-024</t>
  </si>
  <si>
    <t>6788 VACHON DR</t>
  </si>
  <si>
    <t>C -19-32-126-002</t>
  </si>
  <si>
    <t>6561 WING LAKE RD</t>
  </si>
  <si>
    <t>Land Table 32110</t>
  </si>
  <si>
    <t>C -19-32-126-003</t>
  </si>
  <si>
    <t>6601 WING LAKE RD</t>
  </si>
  <si>
    <t>C -19-32-126-017</t>
  </si>
  <si>
    <t>6700 COLBY LN</t>
  </si>
  <si>
    <t>C -19-32-126-025</t>
  </si>
  <si>
    <t>6525 WING LAKE RD</t>
  </si>
  <si>
    <t>C -19-32-126-028</t>
  </si>
  <si>
    <t>6805 WING LAKE RD</t>
  </si>
  <si>
    <t>C -19-32-176-011</t>
  </si>
  <si>
    <t>6785 COLBY LN</t>
  </si>
  <si>
    <t>C -19-32-201-012</t>
  </si>
  <si>
    <t>6756 SPRUCE DR</t>
  </si>
  <si>
    <t>Land Table 32120</t>
  </si>
  <si>
    <t>C -19-32-202-001</t>
  </si>
  <si>
    <t>6507 SPRUCE DR</t>
  </si>
  <si>
    <t>C -19-32-202-009</t>
  </si>
  <si>
    <t>6701 SPRUCE DR</t>
  </si>
  <si>
    <t>C -19-32-202-023</t>
  </si>
  <si>
    <t>6648 TIMBER RIDGE DR</t>
  </si>
  <si>
    <t>C -19-32-202-027</t>
  </si>
  <si>
    <t>6736 TIMBER RIDGE DR</t>
  </si>
  <si>
    <t>C -19-32-203-001</t>
  </si>
  <si>
    <t>6511 TIMBER RIDGE DR</t>
  </si>
  <si>
    <t>C -19-32-204-002</t>
  </si>
  <si>
    <t>6529 CATHEDRAL DR</t>
  </si>
  <si>
    <t>C -19-32-204-003</t>
  </si>
  <si>
    <t>6551 CATHEDRAL DR</t>
  </si>
  <si>
    <t>C -19-32-204-009</t>
  </si>
  <si>
    <t>6689 CATHEDRAL DR</t>
  </si>
  <si>
    <t>C -19-32-204-010</t>
  </si>
  <si>
    <t>6717 CATHEDRAL DR</t>
  </si>
  <si>
    <t>C -19-32-204-025</t>
  </si>
  <si>
    <t>6612 WOODBANK DR</t>
  </si>
  <si>
    <t>C -19-32-204-036</t>
  </si>
  <si>
    <t>6832 WOODBANK DR</t>
  </si>
  <si>
    <t>C -19-32-251-001</t>
  </si>
  <si>
    <t>6903 CATHEDRAL DR</t>
  </si>
  <si>
    <t>C -19-32-276-021</t>
  </si>
  <si>
    <t>6820 WHITE PINE DR</t>
  </si>
  <si>
    <t>C -19-32-276-024</t>
  </si>
  <si>
    <t>6850 WHITE PINE DR</t>
  </si>
  <si>
    <t>C -19-32-278-001</t>
  </si>
  <si>
    <t>6883 SANDALWOOD DR</t>
  </si>
  <si>
    <t>C -19-32-401-010</t>
  </si>
  <si>
    <t>7142 CATHEDRAL DR</t>
  </si>
  <si>
    <t>C -19-32-401-017</t>
  </si>
  <si>
    <t>7310 CATHEDRAL DR</t>
  </si>
  <si>
    <t>C -19-32-401-021</t>
  </si>
  <si>
    <t>7408 CATHEDRAL DR</t>
  </si>
  <si>
    <t>C -19-32-401-022</t>
  </si>
  <si>
    <t>7432 CATHEDRAL DR</t>
  </si>
  <si>
    <t>C -19-32-402-009</t>
  </si>
  <si>
    <t>7125 CATHEDRAL DR</t>
  </si>
  <si>
    <t>C -19-32-403-004</t>
  </si>
  <si>
    <t>7003 WOODBANK DR</t>
  </si>
  <si>
    <t>C -19-32-403-006</t>
  </si>
  <si>
    <t>7049 WOODBANK DR</t>
  </si>
  <si>
    <t>C -19-32-403-009</t>
  </si>
  <si>
    <t>6890 CEDARBROOK DR</t>
  </si>
  <si>
    <t>C -19-32-426-004</t>
  </si>
  <si>
    <t>6966 SANDALWOOD DR</t>
  </si>
  <si>
    <t>C -19-32-426-005</t>
  </si>
  <si>
    <t>6980 SANDALWOOD DR</t>
  </si>
  <si>
    <t>C -19-32-427-003</t>
  </si>
  <si>
    <t>6987 SANDALWOOD DR</t>
  </si>
  <si>
    <t>C -19-32-428-001</t>
  </si>
  <si>
    <t>7011 WHITE PINE DR</t>
  </si>
  <si>
    <t>C -19-32-451-009</t>
  </si>
  <si>
    <t>7285 CATHEDRAL DR</t>
  </si>
  <si>
    <t>C -19-32-451-016</t>
  </si>
  <si>
    <t>7455 CATHEDRAL DR</t>
  </si>
  <si>
    <t>C -19-32-452-008</t>
  </si>
  <si>
    <t>7435 SAINT AUBURN DR</t>
  </si>
  <si>
    <t>C -19-32-453-004</t>
  </si>
  <si>
    <t>7159 GLENGROVE DR</t>
  </si>
  <si>
    <t>C -19-32-303-017</t>
  </si>
  <si>
    <t>7160 WING LAKE RD</t>
  </si>
  <si>
    <t>Land Table 32130</t>
  </si>
  <si>
    <t>C -19-32-304-002</t>
  </si>
  <si>
    <t>7155 HOLIDAY DR</t>
  </si>
  <si>
    <t>C -19-32-304-004</t>
  </si>
  <si>
    <t>7140 PATERESE DR</t>
  </si>
  <si>
    <t>C -19-32-305-016</t>
  </si>
  <si>
    <t>7100 HOLIDAY DR</t>
  </si>
  <si>
    <t>C -19-32-351-007</t>
  </si>
  <si>
    <t>7250 HOLIDAY DR</t>
  </si>
  <si>
    <t>C -19-31-431-004</t>
  </si>
  <si>
    <t>7015 FRANKLIN RD</t>
  </si>
  <si>
    <t>Land Table 32140</t>
  </si>
  <si>
    <t>C -19-31-431-005</t>
  </si>
  <si>
    <t>7013 FRANKLIN RD</t>
  </si>
  <si>
    <t>C -19-31-431-009</t>
  </si>
  <si>
    <t>7001 FRANKLIN RD</t>
  </si>
  <si>
    <t>C -19-32-351-022</t>
  </si>
  <si>
    <t>4390 STONY RIVER DR</t>
  </si>
  <si>
    <t>C -19-32-353-004</t>
  </si>
  <si>
    <t>7448 STONY RIVER CT</t>
  </si>
  <si>
    <t>C -19-32-353-005</t>
  </si>
  <si>
    <t>7460 STONY RIVER CT</t>
  </si>
  <si>
    <t>C -19-32-353-009</t>
  </si>
  <si>
    <t>7437 STONY RIVER CT</t>
  </si>
  <si>
    <t>C -19-32-327-019</t>
  </si>
  <si>
    <t>4361 SPRUCE HILL LN</t>
  </si>
  <si>
    <t>Land Table 32150</t>
  </si>
  <si>
    <t>C -19-32-328-002</t>
  </si>
  <si>
    <t>7303 BROOKSIDE VILLAGE CT</t>
  </si>
  <si>
    <t>Land Table 32200</t>
  </si>
  <si>
    <t>C -19-32-328-004</t>
  </si>
  <si>
    <t>7307 BROOKSIDE VILLAGE CT</t>
  </si>
  <si>
    <t>C -19-32-328-007</t>
  </si>
  <si>
    <t>7313 BROOKSIDE VILLAGE CT</t>
  </si>
  <si>
    <t>C -19-32-328-008</t>
  </si>
  <si>
    <t>7315 BROOKSIDE VILLAGE CT</t>
  </si>
  <si>
    <t>C -19-32-328-009</t>
  </si>
  <si>
    <t>7317 BROOKSIDE VILLAGE CT</t>
  </si>
  <si>
    <t>C -19-33-101-010</t>
  </si>
  <si>
    <t>4052 COUNTRY CLUB DR</t>
  </si>
  <si>
    <t>Land Table 33100</t>
  </si>
  <si>
    <t>C -19-33-151-018</t>
  </si>
  <si>
    <t>4025 FAIRLANE DR</t>
  </si>
  <si>
    <t>C -19-33-151-020</t>
  </si>
  <si>
    <t>6755 OLD CREEK RD</t>
  </si>
  <si>
    <t>C -19-33-151-023</t>
  </si>
  <si>
    <t>4061 COUNTRY CLUB DR</t>
  </si>
  <si>
    <t>Land Table 33104</t>
  </si>
  <si>
    <t>C -19-33-176-006</t>
  </si>
  <si>
    <t>3906 OAKLAND DR</t>
  </si>
  <si>
    <t>Land Table 33110</t>
  </si>
  <si>
    <t>C -19-33-177-004</t>
  </si>
  <si>
    <t>3939 OAKLAND DR</t>
  </si>
  <si>
    <t>C -19-33-177-016</t>
  </si>
  <si>
    <t>3908 MOUNT VERNON DR</t>
  </si>
  <si>
    <t>C -19-33-179-001</t>
  </si>
  <si>
    <t>3895 OAKLAND DR</t>
  </si>
  <si>
    <t>C -19-33-201-014</t>
  </si>
  <si>
    <t>3805 W MAPLE RD</t>
  </si>
  <si>
    <t>C -19-33-301-002</t>
  </si>
  <si>
    <t>4074 LINCOLN DR</t>
  </si>
  <si>
    <t>Land Table 33120</t>
  </si>
  <si>
    <t>C -19-33-301-005</t>
  </si>
  <si>
    <t>4044 LINCOLN DR</t>
  </si>
  <si>
    <t>C -19-33-302-016</t>
  </si>
  <si>
    <t>4067 PARKWOOD CT</t>
  </si>
  <si>
    <t>C -19-33-302-021</t>
  </si>
  <si>
    <t>7333 BINGHAM RD</t>
  </si>
  <si>
    <t>C -19-33-302-031</t>
  </si>
  <si>
    <t>7440 W GREENWICH DR</t>
  </si>
  <si>
    <t>C -19-33-326-016</t>
  </si>
  <si>
    <t>7065 PINEWOOD CT</t>
  </si>
  <si>
    <t>C -19-33-402-011</t>
  </si>
  <si>
    <t>3781 LINCOLN DR</t>
  </si>
  <si>
    <t>C -19-33-427-017</t>
  </si>
  <si>
    <t>7244 LAHSER RD</t>
  </si>
  <si>
    <t>C -19-33-451-002</t>
  </si>
  <si>
    <t>7145 OLD MILL RD</t>
  </si>
  <si>
    <t>C -19-33-451-007</t>
  </si>
  <si>
    <t>7299 OLD MILL RD</t>
  </si>
  <si>
    <t>C -19-33-452-012</t>
  </si>
  <si>
    <t>7300 JACKSON PARK DR</t>
  </si>
  <si>
    <t>C -19-33-452-015</t>
  </si>
  <si>
    <t>7400 JACKSON PARK DR</t>
  </si>
  <si>
    <t>C -19-33-452-017</t>
  </si>
  <si>
    <t>7440 JACKSON PARK DR</t>
  </si>
  <si>
    <t>C -19-33-477-004</t>
  </si>
  <si>
    <t>7471 JACKSON PARK DR</t>
  </si>
  <si>
    <t>C -19-33-477-011</t>
  </si>
  <si>
    <t>7460 PARKSTONE LN</t>
  </si>
  <si>
    <t>C -19-33-476-039</t>
  </si>
  <si>
    <t>7475 PINEHURST CIR</t>
  </si>
  <si>
    <t>Land Table 33200</t>
  </si>
  <si>
    <t>C -19-33-152-014</t>
  </si>
  <si>
    <t>4020 HIDDEN WOODS DR</t>
  </si>
  <si>
    <t>Land Table 33202</t>
  </si>
  <si>
    <t>C -19-33-152-029</t>
  </si>
  <si>
    <t>4023 HIDDEN WOODS DR</t>
  </si>
  <si>
    <t>C -19-33-152-031</t>
  </si>
  <si>
    <t>4037 HIDDEN WOODS DR</t>
  </si>
  <si>
    <t>C -19-33-152-033</t>
  </si>
  <si>
    <t>4045 HIDDEN WOODS DR</t>
  </si>
  <si>
    <t>C -19-34-101-006</t>
  </si>
  <si>
    <t>6695 LAHSER RD</t>
  </si>
  <si>
    <t>Land Table 34100</t>
  </si>
  <si>
    <t>C -19-34-101-011</t>
  </si>
  <si>
    <t>3690 BERKSHIRE DR</t>
  </si>
  <si>
    <t>C -19-34-101-014</t>
  </si>
  <si>
    <t>3687 W BRADFORD DR</t>
  </si>
  <si>
    <t>C -19-34-101-026</t>
  </si>
  <si>
    <t>3623 W BRADFORD DR</t>
  </si>
  <si>
    <t>C -19-34-102-023</t>
  </si>
  <si>
    <t>3627 MIDDLEBURY LN</t>
  </si>
  <si>
    <t>C -19-34-103-024</t>
  </si>
  <si>
    <t>444 HILLBORO DR</t>
  </si>
  <si>
    <t>C -19-34-126-011</t>
  </si>
  <si>
    <t>3263 W MAPLE RD</t>
  </si>
  <si>
    <t>C -19-34-126-016</t>
  </si>
  <si>
    <t>153 WADSWORTH LN</t>
  </si>
  <si>
    <t>C -19-34-126-026</t>
  </si>
  <si>
    <t>162 HILLBORO DR</t>
  </si>
  <si>
    <t>C -19-34-127-010</t>
  </si>
  <si>
    <t>442 DALEBROOK LN</t>
  </si>
  <si>
    <t>C -19-34-129-004</t>
  </si>
  <si>
    <t>231 WADSWORTH LN</t>
  </si>
  <si>
    <t>C -19-34-129-006</t>
  </si>
  <si>
    <t>307 WADSWORTH LN</t>
  </si>
  <si>
    <t>C -19-34-129-009</t>
  </si>
  <si>
    <t>409 WADSWORTH LN</t>
  </si>
  <si>
    <t>C -19-34-130-003</t>
  </si>
  <si>
    <t>305 ROANOKE DR</t>
  </si>
  <si>
    <t>C -19-34-152-006</t>
  </si>
  <si>
    <t>3520 W BRADFORD DR</t>
  </si>
  <si>
    <t>C -19-34-152-008</t>
  </si>
  <si>
    <t>3486 W BRADFORD DR</t>
  </si>
  <si>
    <t>C -19-34-152-013</t>
  </si>
  <si>
    <t>3505 MIDDLEBURY LN</t>
  </si>
  <si>
    <t>C -19-34-176-018</t>
  </si>
  <si>
    <t>3160 BERKSHIRE DR</t>
  </si>
  <si>
    <t>C -19-34-180-002</t>
  </si>
  <si>
    <t>3183 E BRECKENRIDGE LN</t>
  </si>
  <si>
    <t>C -19-34-201-003</t>
  </si>
  <si>
    <t>165 WESTBOURNE DR</t>
  </si>
  <si>
    <t>C -19-34-251-002</t>
  </si>
  <si>
    <t>2969 SUMMERVALE LN</t>
  </si>
  <si>
    <t>C -19-34-253-014</t>
  </si>
  <si>
    <t>2950 MIDDLEBURY LN</t>
  </si>
  <si>
    <t>C -19-34-254-010</t>
  </si>
  <si>
    <t>2721 HEATHFIELD RD</t>
  </si>
  <si>
    <t>C -19-34-276-004</t>
  </si>
  <si>
    <t>2820 HEATHFIELD RD</t>
  </si>
  <si>
    <t>C -19-34-276-021</t>
  </si>
  <si>
    <t>556 WESTBOURNE DR</t>
  </si>
  <si>
    <t>C -19-34-276-033</t>
  </si>
  <si>
    <t>786 S CRANBROOK RD</t>
  </si>
  <si>
    <t>C -19-34-277-005</t>
  </si>
  <si>
    <t>565 WESTBOURNE DR</t>
  </si>
  <si>
    <t>C -19-34-326-007</t>
  </si>
  <si>
    <t>3260 E BRECKENRIDGE LN</t>
  </si>
  <si>
    <t>C -19-34-326-016</t>
  </si>
  <si>
    <t>3273 E BRADFORD DR</t>
  </si>
  <si>
    <t>C -19-34-328-003</t>
  </si>
  <si>
    <t>3111 E BRADFORD DR</t>
  </si>
  <si>
    <t>C -19-34-401-001</t>
  </si>
  <si>
    <t>2969 E BRADFORD DR</t>
  </si>
  <si>
    <t>C -19-34-201-023</t>
  </si>
  <si>
    <t>154 S CRANBROOK CROSS RD</t>
  </si>
  <si>
    <t>Land Table 34110</t>
  </si>
  <si>
    <t>C -19-34-201-026</t>
  </si>
  <si>
    <t>200 S CRANBROOK CROSS RD</t>
  </si>
  <si>
    <t>C -19-34-226-005</t>
  </si>
  <si>
    <t>152 BASSETT PL</t>
  </si>
  <si>
    <t>C -19-34-226-026</t>
  </si>
  <si>
    <t>220 S WILLIAMSBURY RD</t>
  </si>
  <si>
    <t>C -19-34-227-008</t>
  </si>
  <si>
    <t>276 S WILLIAMSBURY RD</t>
  </si>
  <si>
    <t>C -19-34-228-003</t>
  </si>
  <si>
    <t>155 S WILLIAMSBURY RD</t>
  </si>
  <si>
    <t>C -19-34-228-016</t>
  </si>
  <si>
    <t>218 S GLENGARRY RD</t>
  </si>
  <si>
    <t>C -19-34-231-009</t>
  </si>
  <si>
    <t>437 S WILLIAMSBURY RD</t>
  </si>
  <si>
    <t>C -19-34-231-022</t>
  </si>
  <si>
    <t>326 S GLENGARRY RD</t>
  </si>
  <si>
    <t>C -19-34-232-013</t>
  </si>
  <si>
    <t>567 S CRANBROOK CROSS RD</t>
  </si>
  <si>
    <t>C -19-34-277-022</t>
  </si>
  <si>
    <t>506 S CRANBROOK CROSS RD</t>
  </si>
  <si>
    <t>C -19-34-277-023</t>
  </si>
  <si>
    <t>524 S CRANBROOK CROSS RD</t>
  </si>
  <si>
    <t>C -19-34-277-029</t>
  </si>
  <si>
    <t>640 S CRANBROOK RD</t>
  </si>
  <si>
    <t>C -19-34-351-007</t>
  </si>
  <si>
    <t>7383 LAHSER RD</t>
  </si>
  <si>
    <t>Land Table 34120</t>
  </si>
  <si>
    <t>C -19-34-351-015</t>
  </si>
  <si>
    <t>1850 ORCHARD LN</t>
  </si>
  <si>
    <t>C -19-34-352-008</t>
  </si>
  <si>
    <t>21540 W 14 MILE RD</t>
  </si>
  <si>
    <t>C -19-34-376-002</t>
  </si>
  <si>
    <t>1570 FOREST LN</t>
  </si>
  <si>
    <t>C -19-34-377-002</t>
  </si>
  <si>
    <t>1335 FOREST LN</t>
  </si>
  <si>
    <t>C -19-34-377-003</t>
  </si>
  <si>
    <t>1295 FOREST LN</t>
  </si>
  <si>
    <t>C -19-34-402-009</t>
  </si>
  <si>
    <t>1231 FOX CHASE RD</t>
  </si>
  <si>
    <t>Land Table 34130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</si>
</sst>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_);[Red]\(\$#,##0\)"/>
    <numFmt numFmtId="165" formatCode="#0.00_);[Red]\(#0.00\)"/>
    <numFmt numFmtId="166" formatCode="\$#,##0.00_);[Red]\(\$#,##0.00\)"/>
  </numFmts>
  <fonts count="4" x14ac:knownFonts="1">
    <font>
      <b/>
      <sz val="11"/>
      <color indexed="8"/>
      <name val="Calibri"/>
      <family val="2"/>
      <scheme val="minor"/>
    </font>
    <font>
      <b/>
      <sz val="8"/>
      <color rgb="FFFFFFFF"/>
      <name val="Calibri"/>
      <family val="2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NumberFormat="1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40" fontId="1" fillId="2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 wrapText="1"/>
    </xf>
    <xf numFmtId="0" fontId="2" fillId="4" borderId="1" xfId="0" applyNumberFormat="1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40" fontId="2" fillId="4" borderId="1" xfId="0" applyNumberFormat="1" applyFont="1" applyFill="1" applyBorder="1"/>
    <xf numFmtId="166" fontId="2" fillId="4" borderId="1" xfId="0" applyNumberFormat="1" applyFont="1" applyFill="1" applyBorder="1"/>
    <xf numFmtId="0" fontId="2" fillId="4" borderId="2" xfId="0" applyNumberFormat="1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40" fontId="2" fillId="4" borderId="2" xfId="0" applyNumberFormat="1" applyFont="1" applyFill="1" applyBorder="1"/>
    <xf numFmtId="166" fontId="2" fillId="4" borderId="2" xfId="0" applyNumberFormat="1" applyFont="1" applyFill="1" applyBorder="1"/>
    <xf numFmtId="0" fontId="3" fillId="4" borderId="2" xfId="0" applyNumberFormat="1" applyFont="1" applyFill="1" applyBorder="1"/>
    <xf numFmtId="14" fontId="3" fillId="4" borderId="2" xfId="0" applyNumberFormat="1" applyFont="1" applyFill="1" applyBorder="1"/>
    <xf numFmtId="164" fontId="3" fillId="4" borderId="2" xfId="0" applyNumberFormat="1" applyFont="1" applyFill="1" applyBorder="1"/>
    <xf numFmtId="165" fontId="3" fillId="4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C27D-E842-487D-9FA4-D5F39F5C9403}">
  <dimension ref="A1:S91"/>
  <sheetViews>
    <sheetView workbookViewId="0">
      <selection activeCell="Q1" sqref="A1:S1"/>
    </sheetView>
  </sheetViews>
  <sheetFormatPr defaultRowHeight="15" x14ac:dyDescent="0.25"/>
  <cols>
    <col min="1" max="1" width="12.42578125" bestFit="1" customWidth="1"/>
    <col min="2" max="2" width="23.140625" bestFit="1" customWidth="1"/>
    <col min="3" max="3" width="12.5703125" bestFit="1" customWidth="1"/>
    <col min="4" max="4" width="9.28515625" bestFit="1" customWidth="1"/>
    <col min="5" max="5" width="8.7109375" customWidth="1"/>
    <col min="6" max="6" width="4.42578125" bestFit="1" customWidth="1"/>
    <col min="7" max="7" width="13.140625" bestFit="1" customWidth="1"/>
    <col min="8" max="8" width="7.85546875" bestFit="1" customWidth="1"/>
    <col min="9" max="9" width="8.7109375" bestFit="1" customWidth="1"/>
    <col min="10" max="10" width="9.85546875" bestFit="1" customWidth="1"/>
    <col min="11" max="11" width="10.140625" bestFit="1" customWidth="1"/>
    <col min="12" max="12" width="7.85546875" bestFit="1" customWidth="1"/>
    <col min="13" max="13" width="10.85546875" bestFit="1" customWidth="1"/>
    <col min="14" max="14" width="8.28515625" bestFit="1" customWidth="1"/>
    <col min="15" max="15" width="7.42578125" bestFit="1" customWidth="1"/>
    <col min="16" max="16" width="9.42578125" bestFit="1" customWidth="1"/>
    <col min="18" max="18" width="7.42578125" bestFit="1" customWidth="1"/>
    <col min="19" max="19" width="4.14062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13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19</v>
      </c>
      <c r="B2" s="10" t="s">
        <v>20</v>
      </c>
      <c r="C2" s="10" t="s">
        <v>21</v>
      </c>
      <c r="D2" s="11">
        <v>45348</v>
      </c>
      <c r="E2" s="12">
        <v>708100</v>
      </c>
      <c r="F2" s="10" t="s">
        <v>22</v>
      </c>
      <c r="G2" s="10" t="s">
        <v>23</v>
      </c>
      <c r="H2" s="12">
        <v>708100</v>
      </c>
      <c r="I2" s="12">
        <v>246840</v>
      </c>
      <c r="J2" s="13">
        <f t="shared" ref="J2:J11" si="0">I2/H2*100</f>
        <v>34.859483123852563</v>
      </c>
      <c r="K2" s="12">
        <v>523130</v>
      </c>
      <c r="L2" s="12">
        <f>H2-423808</f>
        <v>284292</v>
      </c>
      <c r="M2" s="12">
        <v>99322</v>
      </c>
      <c r="N2" s="12">
        <f t="shared" ref="N2:N11" si="1">E2*0.25</f>
        <v>177025</v>
      </c>
      <c r="O2" s="14">
        <v>0.37</v>
      </c>
      <c r="P2" s="12">
        <f t="shared" ref="P2:P11" si="2">L2/O2</f>
        <v>768356.7567567568</v>
      </c>
      <c r="Q2" s="15">
        <f t="shared" ref="Q2:Q11" si="3">L2/O2/43560</f>
        <v>17.639044002680368</v>
      </c>
      <c r="R2" s="15">
        <f t="shared" ref="R2:R11" si="4">M2/O2/43560</f>
        <v>6.1624847988484364</v>
      </c>
      <c r="S2" s="10" t="s">
        <v>24</v>
      </c>
    </row>
    <row r="3" spans="1:19" x14ac:dyDescent="0.25">
      <c r="A3" s="10" t="s">
        <v>25</v>
      </c>
      <c r="B3" s="10" t="s">
        <v>26</v>
      </c>
      <c r="C3" s="10" t="s">
        <v>21</v>
      </c>
      <c r="D3" s="11">
        <v>45191</v>
      </c>
      <c r="E3" s="12">
        <v>555000</v>
      </c>
      <c r="F3" s="10" t="s">
        <v>22</v>
      </c>
      <c r="G3" s="10" t="s">
        <v>23</v>
      </c>
      <c r="H3" s="12">
        <v>555000</v>
      </c>
      <c r="I3" s="12">
        <v>300210</v>
      </c>
      <c r="J3" s="13">
        <f t="shared" si="0"/>
        <v>54.091891891891898</v>
      </c>
      <c r="K3" s="12">
        <v>600419</v>
      </c>
      <c r="L3" s="12">
        <f>H3-484201</f>
        <v>70799</v>
      </c>
      <c r="M3" s="12">
        <v>116218</v>
      </c>
      <c r="N3" s="12">
        <f t="shared" si="1"/>
        <v>138750</v>
      </c>
      <c r="O3" s="14">
        <v>0.36799999999999999</v>
      </c>
      <c r="P3" s="12">
        <f t="shared" si="2"/>
        <v>192388.58695652173</v>
      </c>
      <c r="Q3" s="15">
        <f t="shared" si="3"/>
        <v>4.4166342276520139</v>
      </c>
      <c r="R3" s="15">
        <f t="shared" si="4"/>
        <v>7.2499950093823617</v>
      </c>
      <c r="S3" s="10" t="s">
        <v>24</v>
      </c>
    </row>
    <row r="4" spans="1:19" x14ac:dyDescent="0.25">
      <c r="A4" s="10" t="s">
        <v>27</v>
      </c>
      <c r="B4" s="10" t="s">
        <v>28</v>
      </c>
      <c r="C4" s="10" t="s">
        <v>21</v>
      </c>
      <c r="D4" s="11">
        <v>45247</v>
      </c>
      <c r="E4" s="12">
        <v>510000</v>
      </c>
      <c r="F4" s="10" t="s">
        <v>29</v>
      </c>
      <c r="G4" s="10" t="s">
        <v>23</v>
      </c>
      <c r="H4" s="12">
        <v>510000</v>
      </c>
      <c r="I4" s="12">
        <v>315840</v>
      </c>
      <c r="J4" s="13">
        <f t="shared" si="0"/>
        <v>61.929411764705875</v>
      </c>
      <c r="K4" s="12">
        <v>631679</v>
      </c>
      <c r="L4" s="12">
        <f>H4-471160</f>
        <v>38840</v>
      </c>
      <c r="M4" s="12">
        <v>160519</v>
      </c>
      <c r="N4" s="12">
        <f t="shared" si="1"/>
        <v>127500</v>
      </c>
      <c r="O4" s="14">
        <v>0.55000000000000004</v>
      </c>
      <c r="P4" s="12">
        <f t="shared" si="2"/>
        <v>70618.181818181809</v>
      </c>
      <c r="Q4" s="15">
        <f t="shared" si="3"/>
        <v>1.6211703815009597</v>
      </c>
      <c r="R4" s="15">
        <f t="shared" si="4"/>
        <v>6.7000166958844636</v>
      </c>
      <c r="S4" s="10" t="s">
        <v>24</v>
      </c>
    </row>
    <row r="5" spans="1:19" x14ac:dyDescent="0.25">
      <c r="A5" s="10" t="s">
        <v>30</v>
      </c>
      <c r="B5" s="10" t="s">
        <v>31</v>
      </c>
      <c r="C5" s="10" t="s">
        <v>21</v>
      </c>
      <c r="D5" s="11">
        <v>45483</v>
      </c>
      <c r="E5" s="12">
        <v>750000</v>
      </c>
      <c r="F5" s="10" t="s">
        <v>29</v>
      </c>
      <c r="G5" s="10" t="s">
        <v>23</v>
      </c>
      <c r="H5" s="12">
        <v>750000</v>
      </c>
      <c r="I5" s="12">
        <v>328460</v>
      </c>
      <c r="J5" s="13">
        <f t="shared" si="0"/>
        <v>43.794666666666664</v>
      </c>
      <c r="K5" s="12">
        <v>656919</v>
      </c>
      <c r="L5" s="12">
        <f>H5-494575</f>
        <v>255425</v>
      </c>
      <c r="M5" s="12">
        <v>162344</v>
      </c>
      <c r="N5" s="12">
        <f t="shared" si="1"/>
        <v>187500</v>
      </c>
      <c r="O5" s="14">
        <v>1.1100000000000001</v>
      </c>
      <c r="P5" s="12">
        <f t="shared" si="2"/>
        <v>230112.6126126126</v>
      </c>
      <c r="Q5" s="15">
        <f t="shared" si="3"/>
        <v>5.2826586917496003</v>
      </c>
      <c r="R5" s="15">
        <f t="shared" si="4"/>
        <v>3.3575724484815388</v>
      </c>
      <c r="S5" s="10" t="s">
        <v>24</v>
      </c>
    </row>
    <row r="6" spans="1:19" x14ac:dyDescent="0.25">
      <c r="A6" s="10" t="s">
        <v>32</v>
      </c>
      <c r="B6" s="10" t="s">
        <v>33</v>
      </c>
      <c r="C6" s="10" t="s">
        <v>21</v>
      </c>
      <c r="D6" s="11">
        <v>45565</v>
      </c>
      <c r="E6" s="12">
        <v>560000</v>
      </c>
      <c r="F6" s="10" t="s">
        <v>29</v>
      </c>
      <c r="G6" s="10" t="s">
        <v>23</v>
      </c>
      <c r="H6" s="12">
        <v>560000</v>
      </c>
      <c r="I6" s="12">
        <v>250790</v>
      </c>
      <c r="J6" s="13">
        <f t="shared" si="0"/>
        <v>44.783928571428575</v>
      </c>
      <c r="K6" s="12">
        <v>501574</v>
      </c>
      <c r="L6" s="12">
        <f>H6-363249</f>
        <v>196751</v>
      </c>
      <c r="M6" s="12">
        <v>138325</v>
      </c>
      <c r="N6" s="12">
        <f t="shared" si="1"/>
        <v>140000</v>
      </c>
      <c r="O6" s="14">
        <v>0.438</v>
      </c>
      <c r="P6" s="12">
        <f t="shared" si="2"/>
        <v>449203.19634703198</v>
      </c>
      <c r="Q6" s="15">
        <f t="shared" si="3"/>
        <v>10.312286417516804</v>
      </c>
      <c r="R6" s="15">
        <f t="shared" si="4"/>
        <v>7.250011530833449</v>
      </c>
      <c r="S6" s="10" t="s">
        <v>24</v>
      </c>
    </row>
    <row r="7" spans="1:19" x14ac:dyDescent="0.25">
      <c r="A7" s="10" t="s">
        <v>34</v>
      </c>
      <c r="B7" s="10" t="s">
        <v>35</v>
      </c>
      <c r="C7" s="10" t="s">
        <v>21</v>
      </c>
      <c r="D7" s="11">
        <v>45065</v>
      </c>
      <c r="E7" s="12">
        <v>625000</v>
      </c>
      <c r="F7" s="10" t="s">
        <v>29</v>
      </c>
      <c r="G7" s="10" t="s">
        <v>23</v>
      </c>
      <c r="H7" s="12">
        <v>625000</v>
      </c>
      <c r="I7" s="12">
        <v>281670</v>
      </c>
      <c r="J7" s="13">
        <f t="shared" si="0"/>
        <v>45.0672</v>
      </c>
      <c r="K7" s="12">
        <v>563339</v>
      </c>
      <c r="L7" s="12">
        <f>H7-407645</f>
        <v>217355</v>
      </c>
      <c r="M7" s="12">
        <v>155694</v>
      </c>
      <c r="N7" s="12">
        <f t="shared" si="1"/>
        <v>156250</v>
      </c>
      <c r="O7" s="14">
        <v>0.49299999999999999</v>
      </c>
      <c r="P7" s="12">
        <f t="shared" si="2"/>
        <v>440882.3529411765</v>
      </c>
      <c r="Q7" s="15">
        <f t="shared" si="3"/>
        <v>10.121266137308918</v>
      </c>
      <c r="R7" s="15">
        <f t="shared" si="4"/>
        <v>7.2499846333517732</v>
      </c>
      <c r="S7" s="10" t="s">
        <v>24</v>
      </c>
    </row>
    <row r="8" spans="1:19" x14ac:dyDescent="0.25">
      <c r="A8" s="10" t="s">
        <v>36</v>
      </c>
      <c r="B8" s="10" t="s">
        <v>37</v>
      </c>
      <c r="C8" s="10" t="s">
        <v>21</v>
      </c>
      <c r="D8" s="11">
        <v>45490</v>
      </c>
      <c r="E8" s="12">
        <v>560000</v>
      </c>
      <c r="F8" s="10" t="s">
        <v>22</v>
      </c>
      <c r="G8" s="10" t="s">
        <v>23</v>
      </c>
      <c r="H8" s="12">
        <v>560000</v>
      </c>
      <c r="I8" s="12">
        <v>267110</v>
      </c>
      <c r="J8" s="13">
        <f t="shared" si="0"/>
        <v>47.698214285714286</v>
      </c>
      <c r="K8" s="12">
        <v>534221</v>
      </c>
      <c r="L8" s="12">
        <f>H8-380422</f>
        <v>179578</v>
      </c>
      <c r="M8" s="12">
        <v>153799</v>
      </c>
      <c r="N8" s="12">
        <f t="shared" si="1"/>
        <v>140000</v>
      </c>
      <c r="O8" s="14">
        <v>0.48699999999999999</v>
      </c>
      <c r="P8" s="12">
        <f t="shared" si="2"/>
        <v>368743.3264887064</v>
      </c>
      <c r="Q8" s="15">
        <f t="shared" si="3"/>
        <v>8.465181967142021</v>
      </c>
      <c r="R8" s="15">
        <f t="shared" si="4"/>
        <v>7.2499778445270326</v>
      </c>
      <c r="S8" s="10" t="s">
        <v>24</v>
      </c>
    </row>
    <row r="9" spans="1:19" x14ac:dyDescent="0.25">
      <c r="A9" s="10" t="s">
        <v>36</v>
      </c>
      <c r="B9" s="10" t="s">
        <v>37</v>
      </c>
      <c r="C9" s="10" t="s">
        <v>21</v>
      </c>
      <c r="D9" s="11">
        <v>45471</v>
      </c>
      <c r="E9" s="12">
        <v>560000</v>
      </c>
      <c r="F9" s="10" t="s">
        <v>29</v>
      </c>
      <c r="G9" s="10" t="s">
        <v>23</v>
      </c>
      <c r="H9" s="12">
        <v>560000</v>
      </c>
      <c r="I9" s="12">
        <v>267110</v>
      </c>
      <c r="J9" s="13">
        <f t="shared" si="0"/>
        <v>47.698214285714286</v>
      </c>
      <c r="K9" s="12">
        <v>534221</v>
      </c>
      <c r="L9" s="12">
        <f>H9-380422</f>
        <v>179578</v>
      </c>
      <c r="M9" s="12">
        <v>153799</v>
      </c>
      <c r="N9" s="12">
        <f t="shared" si="1"/>
        <v>140000</v>
      </c>
      <c r="O9" s="14">
        <v>0.48699999999999999</v>
      </c>
      <c r="P9" s="12">
        <f t="shared" si="2"/>
        <v>368743.3264887064</v>
      </c>
      <c r="Q9" s="15">
        <f t="shared" si="3"/>
        <v>8.465181967142021</v>
      </c>
      <c r="R9" s="15">
        <f t="shared" si="4"/>
        <v>7.2499778445270326</v>
      </c>
      <c r="S9" s="10" t="s">
        <v>24</v>
      </c>
    </row>
    <row r="10" spans="1:19" x14ac:dyDescent="0.25">
      <c r="A10" s="10" t="s">
        <v>38</v>
      </c>
      <c r="B10" s="10" t="s">
        <v>39</v>
      </c>
      <c r="C10" s="10" t="s">
        <v>21</v>
      </c>
      <c r="D10" s="11">
        <v>45105</v>
      </c>
      <c r="E10" s="12">
        <v>580000</v>
      </c>
      <c r="F10" s="10" t="s">
        <v>29</v>
      </c>
      <c r="G10" s="10" t="s">
        <v>23</v>
      </c>
      <c r="H10" s="12">
        <v>580000</v>
      </c>
      <c r="I10" s="12">
        <v>261390</v>
      </c>
      <c r="J10" s="13">
        <f t="shared" si="0"/>
        <v>45.067241379310346</v>
      </c>
      <c r="K10" s="12">
        <v>522776</v>
      </c>
      <c r="L10" s="12">
        <f>H10-406242</f>
        <v>173758</v>
      </c>
      <c r="M10" s="12">
        <v>116534</v>
      </c>
      <c r="N10" s="12">
        <f t="shared" si="1"/>
        <v>145000</v>
      </c>
      <c r="O10" s="14">
        <v>0.36899999999999999</v>
      </c>
      <c r="P10" s="12">
        <f t="shared" si="2"/>
        <v>470888.88888888888</v>
      </c>
      <c r="Q10" s="15">
        <f t="shared" si="3"/>
        <v>10.810121416182023</v>
      </c>
      <c r="R10" s="15">
        <f t="shared" si="4"/>
        <v>7.2500068435027796</v>
      </c>
      <c r="S10" s="10" t="s">
        <v>24</v>
      </c>
    </row>
    <row r="11" spans="1:19" x14ac:dyDescent="0.25">
      <c r="A11" s="10" t="s">
        <v>40</v>
      </c>
      <c r="B11" s="10" t="s">
        <v>41</v>
      </c>
      <c r="C11" s="10" t="s">
        <v>21</v>
      </c>
      <c r="D11" s="11">
        <v>45149</v>
      </c>
      <c r="E11" s="12">
        <v>550000</v>
      </c>
      <c r="F11" s="10" t="s">
        <v>22</v>
      </c>
      <c r="G11" s="10" t="s">
        <v>23</v>
      </c>
      <c r="H11" s="12">
        <v>550000</v>
      </c>
      <c r="I11" s="12">
        <v>239100</v>
      </c>
      <c r="J11" s="13">
        <f t="shared" si="0"/>
        <v>43.472727272727276</v>
      </c>
      <c r="K11" s="12">
        <v>478195</v>
      </c>
      <c r="L11" s="12">
        <f>H11-362293</f>
        <v>187707</v>
      </c>
      <c r="M11" s="12">
        <v>115902</v>
      </c>
      <c r="N11" s="12">
        <f t="shared" si="1"/>
        <v>137500</v>
      </c>
      <c r="O11" s="14">
        <v>0.36699999999999999</v>
      </c>
      <c r="P11" s="12">
        <f t="shared" si="2"/>
        <v>511463.21525885561</v>
      </c>
      <c r="Q11" s="15">
        <f t="shared" si="3"/>
        <v>11.741579780965465</v>
      </c>
      <c r="R11" s="15">
        <f t="shared" si="4"/>
        <v>7.2499831107708248</v>
      </c>
      <c r="S11" s="10" t="s">
        <v>24</v>
      </c>
    </row>
    <row r="12" spans="1:19" ht="15.75" thickBot="1" x14ac:dyDescent="0.3">
      <c r="A12" s="16"/>
      <c r="B12" s="16"/>
      <c r="C12" s="16"/>
      <c r="D12" s="17"/>
      <c r="E12" s="18"/>
      <c r="F12" s="16"/>
      <c r="G12" s="16"/>
      <c r="H12" s="18"/>
      <c r="I12" s="18"/>
      <c r="J12" s="19"/>
      <c r="K12" s="18"/>
      <c r="L12" s="18">
        <f>AVERAGE(L2:L11)</f>
        <v>178408.3</v>
      </c>
      <c r="M12" s="18">
        <f>AVERAGE(M2:M11)</f>
        <v>137245.6</v>
      </c>
      <c r="N12" s="18">
        <f>AVERAGE(N2:N11)</f>
        <v>148952.5</v>
      </c>
      <c r="O12" s="20"/>
      <c r="P12" s="18"/>
      <c r="Q12" s="21">
        <f>AVERAGE(Q2:Q11)</f>
        <v>8.8875124989840195</v>
      </c>
      <c r="R12" s="21">
        <f>AVERAGE(R2:R11)</f>
        <v>6.6970010760109684</v>
      </c>
      <c r="S12" s="16"/>
    </row>
    <row r="13" spans="1:19" ht="15.75" thickTop="1" x14ac:dyDescent="0.25">
      <c r="A13" s="10"/>
      <c r="B13" s="10"/>
      <c r="C13" s="10"/>
      <c r="D13" s="11"/>
      <c r="E13" s="12"/>
      <c r="F13" s="10"/>
      <c r="G13" s="10"/>
      <c r="H13" s="12"/>
      <c r="I13" s="12"/>
      <c r="J13" s="13"/>
      <c r="K13" s="12"/>
      <c r="L13" s="12"/>
      <c r="M13" s="12"/>
      <c r="N13" s="12"/>
      <c r="O13" s="14"/>
      <c r="P13" s="12"/>
      <c r="Q13" s="15"/>
      <c r="R13" s="15"/>
      <c r="S13" s="10"/>
    </row>
    <row r="14" spans="1:19" x14ac:dyDescent="0.25">
      <c r="A14" s="10"/>
      <c r="B14" s="10"/>
      <c r="C14" s="10"/>
      <c r="D14" s="11"/>
      <c r="E14" s="12"/>
      <c r="F14" s="10"/>
      <c r="G14" s="10"/>
      <c r="H14" s="12"/>
      <c r="I14" s="12"/>
      <c r="J14" s="13"/>
      <c r="K14" s="12"/>
      <c r="L14" s="12"/>
      <c r="M14" s="12"/>
      <c r="N14" s="12"/>
      <c r="O14" s="14"/>
      <c r="P14" s="12"/>
      <c r="Q14" s="15"/>
      <c r="R14" s="15"/>
      <c r="S14" s="10"/>
    </row>
    <row r="15" spans="1:19" x14ac:dyDescent="0.25">
      <c r="A15" s="10" t="s">
        <v>42</v>
      </c>
      <c r="B15" s="10" t="s">
        <v>43</v>
      </c>
      <c r="C15" s="10" t="s">
        <v>44</v>
      </c>
      <c r="D15" s="11">
        <v>45107</v>
      </c>
      <c r="E15" s="12">
        <v>454000</v>
      </c>
      <c r="F15" s="10" t="s">
        <v>22</v>
      </c>
      <c r="G15" s="10" t="s">
        <v>23</v>
      </c>
      <c r="H15" s="12">
        <v>454000</v>
      </c>
      <c r="I15" s="12">
        <v>214200</v>
      </c>
      <c r="J15" s="13">
        <f t="shared" ref="J15:J30" si="5">I15/H15*100</f>
        <v>47.180616740088105</v>
      </c>
      <c r="K15" s="12">
        <v>428401</v>
      </c>
      <c r="L15" s="12">
        <f>H15-304919</f>
        <v>149081</v>
      </c>
      <c r="M15" s="12">
        <v>123482</v>
      </c>
      <c r="N15" s="12">
        <f t="shared" ref="N15:N30" si="6">E15*0.3</f>
        <v>136200</v>
      </c>
      <c r="O15" s="14">
        <v>0.39100000000000001</v>
      </c>
      <c r="P15" s="12">
        <f t="shared" ref="P15:P30" si="7">L15/O15</f>
        <v>381281.32992327365</v>
      </c>
      <c r="Q15" s="15">
        <f t="shared" ref="Q15:Q30" si="8">L15/O15/43560</f>
        <v>8.7530149201853451</v>
      </c>
      <c r="R15" s="15">
        <f t="shared" ref="R15:R30" si="9">M15/O15/43560</f>
        <v>7.2500170268131212</v>
      </c>
      <c r="S15" s="10" t="s">
        <v>24</v>
      </c>
    </row>
    <row r="16" spans="1:19" x14ac:dyDescent="0.25">
      <c r="A16" s="10" t="s">
        <v>45</v>
      </c>
      <c r="B16" s="10" t="s">
        <v>46</v>
      </c>
      <c r="C16" s="10" t="s">
        <v>44</v>
      </c>
      <c r="D16" s="11">
        <v>45055</v>
      </c>
      <c r="E16" s="12">
        <v>490000</v>
      </c>
      <c r="F16" s="10" t="s">
        <v>22</v>
      </c>
      <c r="G16" s="10" t="s">
        <v>23</v>
      </c>
      <c r="H16" s="12">
        <v>490000</v>
      </c>
      <c r="I16" s="12">
        <v>261490</v>
      </c>
      <c r="J16" s="13">
        <f t="shared" si="5"/>
        <v>53.365306122448978</v>
      </c>
      <c r="K16" s="12">
        <v>522985</v>
      </c>
      <c r="L16" s="12">
        <f>H16-388450</f>
        <v>101550</v>
      </c>
      <c r="M16" s="12">
        <v>134535</v>
      </c>
      <c r="N16" s="12">
        <f t="shared" si="6"/>
        <v>147000</v>
      </c>
      <c r="O16" s="14">
        <v>0.42599999999999999</v>
      </c>
      <c r="P16" s="12">
        <f t="shared" si="7"/>
        <v>238380.28169014084</v>
      </c>
      <c r="Q16" s="15">
        <f t="shared" si="8"/>
        <v>5.4724582573494223</v>
      </c>
      <c r="R16" s="15">
        <f t="shared" si="9"/>
        <v>7.2499967666420932</v>
      </c>
      <c r="S16" s="10" t="s">
        <v>24</v>
      </c>
    </row>
    <row r="17" spans="1:19" x14ac:dyDescent="0.25">
      <c r="A17" s="10" t="s">
        <v>47</v>
      </c>
      <c r="B17" s="10" t="s">
        <v>48</v>
      </c>
      <c r="C17" s="10" t="s">
        <v>44</v>
      </c>
      <c r="D17" s="11">
        <v>45296</v>
      </c>
      <c r="E17" s="12">
        <v>445000</v>
      </c>
      <c r="F17" s="10" t="s">
        <v>22</v>
      </c>
      <c r="G17" s="10" t="s">
        <v>23</v>
      </c>
      <c r="H17" s="12">
        <v>445000</v>
      </c>
      <c r="I17" s="12">
        <v>158470</v>
      </c>
      <c r="J17" s="13">
        <f t="shared" si="5"/>
        <v>35.611235955056181</v>
      </c>
      <c r="K17" s="12">
        <v>316942</v>
      </c>
      <c r="L17" s="12">
        <f>H17-235810</f>
        <v>209190</v>
      </c>
      <c r="M17" s="12">
        <v>81132</v>
      </c>
      <c r="N17" s="12">
        <f t="shared" si="6"/>
        <v>133500</v>
      </c>
      <c r="O17" s="14">
        <v>0.36699999999999999</v>
      </c>
      <c r="P17" s="12">
        <f t="shared" si="7"/>
        <v>570000</v>
      </c>
      <c r="Q17" s="15">
        <f t="shared" si="8"/>
        <v>13.085399449035812</v>
      </c>
      <c r="R17" s="15">
        <f t="shared" si="9"/>
        <v>5.0750257091599673</v>
      </c>
      <c r="S17" s="10" t="s">
        <v>24</v>
      </c>
    </row>
    <row r="18" spans="1:19" x14ac:dyDescent="0.25">
      <c r="A18" s="10" t="s">
        <v>49</v>
      </c>
      <c r="B18" s="10" t="s">
        <v>50</v>
      </c>
      <c r="C18" s="10" t="s">
        <v>44</v>
      </c>
      <c r="D18" s="11">
        <v>45086</v>
      </c>
      <c r="E18" s="12">
        <v>398000</v>
      </c>
      <c r="F18" s="10" t="s">
        <v>29</v>
      </c>
      <c r="G18" s="10" t="s">
        <v>23</v>
      </c>
      <c r="H18" s="12">
        <v>398000</v>
      </c>
      <c r="I18" s="12">
        <v>211940</v>
      </c>
      <c r="J18" s="13">
        <f t="shared" si="5"/>
        <v>53.251256281407031</v>
      </c>
      <c r="K18" s="12">
        <v>423883</v>
      </c>
      <c r="L18" s="12">
        <f>H18-319982</f>
        <v>78018</v>
      </c>
      <c r="M18" s="12">
        <v>103901</v>
      </c>
      <c r="N18" s="12">
        <f t="shared" si="6"/>
        <v>119400</v>
      </c>
      <c r="O18" s="14">
        <v>0.47</v>
      </c>
      <c r="P18" s="12">
        <f t="shared" si="7"/>
        <v>165995.74468085109</v>
      </c>
      <c r="Q18" s="15">
        <f t="shared" si="8"/>
        <v>3.8107379403317512</v>
      </c>
      <c r="R18" s="15">
        <f t="shared" si="9"/>
        <v>5.0749760662720043</v>
      </c>
      <c r="S18" s="10" t="s">
        <v>24</v>
      </c>
    </row>
    <row r="19" spans="1:19" x14ac:dyDescent="0.25">
      <c r="A19" s="10" t="s">
        <v>51</v>
      </c>
      <c r="B19" s="10" t="s">
        <v>52</v>
      </c>
      <c r="C19" s="10" t="s">
        <v>44</v>
      </c>
      <c r="D19" s="11">
        <v>45603</v>
      </c>
      <c r="E19" s="12">
        <v>420000</v>
      </c>
      <c r="F19" s="10" t="s">
        <v>22</v>
      </c>
      <c r="G19" s="10" t="s">
        <v>23</v>
      </c>
      <c r="H19" s="12">
        <v>420000</v>
      </c>
      <c r="I19" s="12">
        <v>225970</v>
      </c>
      <c r="J19" s="13">
        <f t="shared" si="5"/>
        <v>53.802380952380958</v>
      </c>
      <c r="K19" s="12">
        <v>451937</v>
      </c>
      <c r="L19" s="12">
        <f>H19-329403</f>
        <v>90597</v>
      </c>
      <c r="M19" s="12">
        <v>122534</v>
      </c>
      <c r="N19" s="12">
        <f t="shared" si="6"/>
        <v>126000</v>
      </c>
      <c r="O19" s="14">
        <v>0.38800000000000001</v>
      </c>
      <c r="P19" s="12">
        <f t="shared" si="7"/>
        <v>233497.42268041236</v>
      </c>
      <c r="Q19" s="15">
        <f t="shared" si="8"/>
        <v>5.3603632387606144</v>
      </c>
      <c r="R19" s="15">
        <f t="shared" si="9"/>
        <v>7.2499834332074258</v>
      </c>
      <c r="S19" s="10" t="s">
        <v>24</v>
      </c>
    </row>
    <row r="20" spans="1:19" x14ac:dyDescent="0.25">
      <c r="A20" s="10" t="s">
        <v>53</v>
      </c>
      <c r="B20" s="10" t="s">
        <v>54</v>
      </c>
      <c r="C20" s="10" t="s">
        <v>44</v>
      </c>
      <c r="D20" s="11">
        <v>45069</v>
      </c>
      <c r="E20" s="12">
        <v>538000</v>
      </c>
      <c r="F20" s="10" t="s">
        <v>22</v>
      </c>
      <c r="G20" s="10" t="s">
        <v>23</v>
      </c>
      <c r="H20" s="12">
        <v>538000</v>
      </c>
      <c r="I20" s="12">
        <v>260260</v>
      </c>
      <c r="J20" s="13">
        <f t="shared" si="5"/>
        <v>48.375464684014865</v>
      </c>
      <c r="K20" s="12">
        <v>520525</v>
      </c>
      <c r="L20" s="12">
        <f>H20-377779</f>
        <v>160221</v>
      </c>
      <c r="M20" s="12">
        <v>142746</v>
      </c>
      <c r="N20" s="12">
        <f t="shared" si="6"/>
        <v>161400</v>
      </c>
      <c r="O20" s="14">
        <v>0.45200000000000001</v>
      </c>
      <c r="P20" s="12">
        <f t="shared" si="7"/>
        <v>354471.23893805308</v>
      </c>
      <c r="Q20" s="15">
        <f t="shared" si="8"/>
        <v>8.1375399205246346</v>
      </c>
      <c r="R20" s="15">
        <f t="shared" si="9"/>
        <v>7.2499939052634144</v>
      </c>
      <c r="S20" s="10" t="s">
        <v>24</v>
      </c>
    </row>
    <row r="21" spans="1:19" x14ac:dyDescent="0.25">
      <c r="A21" s="10" t="s">
        <v>55</v>
      </c>
      <c r="B21" s="10" t="s">
        <v>56</v>
      </c>
      <c r="C21" s="10" t="s">
        <v>44</v>
      </c>
      <c r="D21" s="11">
        <v>45586</v>
      </c>
      <c r="E21" s="12">
        <v>525000</v>
      </c>
      <c r="F21" s="10" t="s">
        <v>22</v>
      </c>
      <c r="G21" s="10" t="s">
        <v>23</v>
      </c>
      <c r="H21" s="12">
        <v>525000</v>
      </c>
      <c r="I21" s="12">
        <v>244380</v>
      </c>
      <c r="J21" s="13">
        <f t="shared" si="5"/>
        <v>46.548571428571428</v>
      </c>
      <c r="K21" s="12">
        <v>488756</v>
      </c>
      <c r="L21" s="12">
        <f>H21-356116</f>
        <v>168884</v>
      </c>
      <c r="M21" s="12">
        <v>132640</v>
      </c>
      <c r="N21" s="12">
        <f t="shared" si="6"/>
        <v>157500</v>
      </c>
      <c r="O21" s="14">
        <v>0.42</v>
      </c>
      <c r="P21" s="12">
        <f t="shared" si="7"/>
        <v>402104.76190476189</v>
      </c>
      <c r="Q21" s="15">
        <f t="shared" si="8"/>
        <v>9.231055140146049</v>
      </c>
      <c r="R21" s="15">
        <f t="shared" si="9"/>
        <v>7.249989068170887</v>
      </c>
      <c r="S21" s="10" t="s">
        <v>24</v>
      </c>
    </row>
    <row r="22" spans="1:19" x14ac:dyDescent="0.25">
      <c r="A22" s="10" t="s">
        <v>57</v>
      </c>
      <c r="B22" s="10" t="s">
        <v>58</v>
      </c>
      <c r="C22" s="10" t="s">
        <v>44</v>
      </c>
      <c r="D22" s="11">
        <v>45429</v>
      </c>
      <c r="E22" s="12">
        <v>473000</v>
      </c>
      <c r="F22" s="10" t="s">
        <v>29</v>
      </c>
      <c r="G22" s="10" t="s">
        <v>23</v>
      </c>
      <c r="H22" s="12">
        <v>473000</v>
      </c>
      <c r="I22" s="12">
        <v>191040</v>
      </c>
      <c r="J22" s="13">
        <f t="shared" si="5"/>
        <v>40.389006342494717</v>
      </c>
      <c r="K22" s="12">
        <v>382080</v>
      </c>
      <c r="L22" s="12">
        <f>H22-265862</f>
        <v>207138</v>
      </c>
      <c r="M22" s="12">
        <v>116218</v>
      </c>
      <c r="N22" s="12">
        <f t="shared" si="6"/>
        <v>141900</v>
      </c>
      <c r="O22" s="14">
        <v>0.36799999999999999</v>
      </c>
      <c r="P22" s="12">
        <f t="shared" si="7"/>
        <v>562875</v>
      </c>
      <c r="Q22" s="15">
        <f t="shared" si="8"/>
        <v>12.921831955922865</v>
      </c>
      <c r="R22" s="15">
        <f t="shared" si="9"/>
        <v>7.2499950093823617</v>
      </c>
      <c r="S22" s="10" t="s">
        <v>24</v>
      </c>
    </row>
    <row r="23" spans="1:19" x14ac:dyDescent="0.25">
      <c r="A23" s="10" t="s">
        <v>59</v>
      </c>
      <c r="B23" s="10" t="s">
        <v>60</v>
      </c>
      <c r="C23" s="10" t="s">
        <v>44</v>
      </c>
      <c r="D23" s="11">
        <v>45596</v>
      </c>
      <c r="E23" s="12">
        <v>415000</v>
      </c>
      <c r="F23" s="10" t="s">
        <v>29</v>
      </c>
      <c r="G23" s="10" t="s">
        <v>23</v>
      </c>
      <c r="H23" s="12">
        <v>415000</v>
      </c>
      <c r="I23" s="12">
        <v>222780</v>
      </c>
      <c r="J23" s="13">
        <f t="shared" si="5"/>
        <v>53.681927710843368</v>
      </c>
      <c r="K23" s="12">
        <v>445550</v>
      </c>
      <c r="L23" s="12">
        <f>H23-329016</f>
        <v>85984</v>
      </c>
      <c r="M23" s="12">
        <v>116534</v>
      </c>
      <c r="N23" s="12">
        <f t="shared" si="6"/>
        <v>124500</v>
      </c>
      <c r="O23" s="14">
        <v>0.36899999999999999</v>
      </c>
      <c r="P23" s="12">
        <f t="shared" si="7"/>
        <v>233018.97018970191</v>
      </c>
      <c r="Q23" s="15">
        <f t="shared" si="8"/>
        <v>5.3493794809389783</v>
      </c>
      <c r="R23" s="15">
        <f t="shared" si="9"/>
        <v>7.2500068435027796</v>
      </c>
      <c r="S23" s="10" t="s">
        <v>24</v>
      </c>
    </row>
    <row r="24" spans="1:19" x14ac:dyDescent="0.25">
      <c r="A24" s="10" t="s">
        <v>61</v>
      </c>
      <c r="B24" s="10" t="s">
        <v>62</v>
      </c>
      <c r="C24" s="10" t="s">
        <v>44</v>
      </c>
      <c r="D24" s="11">
        <v>45618</v>
      </c>
      <c r="E24" s="12">
        <v>400000</v>
      </c>
      <c r="F24" s="10" t="s">
        <v>29</v>
      </c>
      <c r="G24" s="10" t="s">
        <v>23</v>
      </c>
      <c r="H24" s="12">
        <v>400000</v>
      </c>
      <c r="I24" s="12">
        <v>217450</v>
      </c>
      <c r="J24" s="13">
        <f t="shared" si="5"/>
        <v>54.362500000000004</v>
      </c>
      <c r="K24" s="12">
        <v>434899</v>
      </c>
      <c r="L24" s="12">
        <f>H24-317733</f>
        <v>82267</v>
      </c>
      <c r="M24" s="12">
        <v>117166</v>
      </c>
      <c r="N24" s="12">
        <f t="shared" si="6"/>
        <v>120000</v>
      </c>
      <c r="O24" s="14">
        <v>0.371</v>
      </c>
      <c r="P24" s="12">
        <f t="shared" si="7"/>
        <v>221743.93530997305</v>
      </c>
      <c r="Q24" s="15">
        <f t="shared" si="8"/>
        <v>5.0905402963722004</v>
      </c>
      <c r="R24" s="15">
        <f t="shared" si="9"/>
        <v>7.2500303203562213</v>
      </c>
      <c r="S24" s="10" t="s">
        <v>24</v>
      </c>
    </row>
    <row r="25" spans="1:19" x14ac:dyDescent="0.25">
      <c r="A25" s="10" t="s">
        <v>63</v>
      </c>
      <c r="B25" s="10" t="s">
        <v>64</v>
      </c>
      <c r="C25" s="10" t="s">
        <v>44</v>
      </c>
      <c r="D25" s="11">
        <v>45146</v>
      </c>
      <c r="E25" s="12">
        <v>440000</v>
      </c>
      <c r="F25" s="10" t="s">
        <v>22</v>
      </c>
      <c r="G25" s="10" t="s">
        <v>23</v>
      </c>
      <c r="H25" s="12">
        <v>440000</v>
      </c>
      <c r="I25" s="12">
        <v>161390</v>
      </c>
      <c r="J25" s="13">
        <f t="shared" si="5"/>
        <v>36.679545454545455</v>
      </c>
      <c r="K25" s="12">
        <v>322777</v>
      </c>
      <c r="L25" s="12">
        <f>H25-233908</f>
        <v>206092</v>
      </c>
      <c r="M25" s="12">
        <v>88869</v>
      </c>
      <c r="N25" s="12">
        <f t="shared" si="6"/>
        <v>132000</v>
      </c>
      <c r="O25" s="14">
        <v>0.40200000000000002</v>
      </c>
      <c r="P25" s="12">
        <f t="shared" si="7"/>
        <v>512666.66666666663</v>
      </c>
      <c r="Q25" s="15">
        <f t="shared" si="8"/>
        <v>11.769207223752677</v>
      </c>
      <c r="R25" s="15">
        <f t="shared" si="9"/>
        <v>5.0750037690336196</v>
      </c>
      <c r="S25" s="10" t="s">
        <v>24</v>
      </c>
    </row>
    <row r="26" spans="1:19" x14ac:dyDescent="0.25">
      <c r="A26" s="10" t="s">
        <v>65</v>
      </c>
      <c r="B26" s="10" t="s">
        <v>66</v>
      </c>
      <c r="C26" s="10" t="s">
        <v>44</v>
      </c>
      <c r="D26" s="11">
        <v>45128</v>
      </c>
      <c r="E26" s="12">
        <v>369900</v>
      </c>
      <c r="F26" s="10" t="s">
        <v>29</v>
      </c>
      <c r="G26" s="10" t="s">
        <v>23</v>
      </c>
      <c r="H26" s="12">
        <v>369900</v>
      </c>
      <c r="I26" s="12">
        <v>227020</v>
      </c>
      <c r="J26" s="13">
        <f t="shared" si="5"/>
        <v>61.373344147066774</v>
      </c>
      <c r="K26" s="12">
        <v>454041</v>
      </c>
      <c r="L26" s="12">
        <f>H26-303400</f>
        <v>66500</v>
      </c>
      <c r="M26" s="12">
        <v>150641</v>
      </c>
      <c r="N26" s="12">
        <f t="shared" si="6"/>
        <v>110970</v>
      </c>
      <c r="O26" s="14">
        <v>0.47699999999999998</v>
      </c>
      <c r="P26" s="12">
        <f t="shared" si="7"/>
        <v>139412.99790356396</v>
      </c>
      <c r="Q26" s="15">
        <f t="shared" si="8"/>
        <v>3.2004820455363627</v>
      </c>
      <c r="R26" s="15">
        <f t="shared" si="9"/>
        <v>7.2499821928066641</v>
      </c>
      <c r="S26" s="10" t="s">
        <v>24</v>
      </c>
    </row>
    <row r="27" spans="1:19" x14ac:dyDescent="0.25">
      <c r="A27" s="10" t="s">
        <v>67</v>
      </c>
      <c r="B27" s="10" t="s">
        <v>68</v>
      </c>
      <c r="C27" s="10" t="s">
        <v>44</v>
      </c>
      <c r="D27" s="11">
        <v>45212</v>
      </c>
      <c r="E27" s="12">
        <v>365000</v>
      </c>
      <c r="F27" s="10" t="s">
        <v>22</v>
      </c>
      <c r="G27" s="10" t="s">
        <v>23</v>
      </c>
      <c r="H27" s="12">
        <v>365000</v>
      </c>
      <c r="I27" s="12">
        <v>199170</v>
      </c>
      <c r="J27" s="13">
        <f t="shared" si="5"/>
        <v>54.567123287671237</v>
      </c>
      <c r="K27" s="12">
        <v>398338</v>
      </c>
      <c r="L27" s="12">
        <f>H27-276435</f>
        <v>88565</v>
      </c>
      <c r="M27" s="12">
        <v>121903</v>
      </c>
      <c r="N27" s="12">
        <f t="shared" si="6"/>
        <v>109500</v>
      </c>
      <c r="O27" s="14">
        <v>0.38600000000000001</v>
      </c>
      <c r="P27" s="12">
        <f t="shared" si="7"/>
        <v>229443.00518134714</v>
      </c>
      <c r="Q27" s="15">
        <f t="shared" si="8"/>
        <v>5.2672866203247732</v>
      </c>
      <c r="R27" s="15">
        <f t="shared" si="9"/>
        <v>7.2500202210517797</v>
      </c>
      <c r="S27" s="10" t="s">
        <v>24</v>
      </c>
    </row>
    <row r="28" spans="1:19" x14ac:dyDescent="0.25">
      <c r="A28" s="10" t="s">
        <v>69</v>
      </c>
      <c r="B28" s="10" t="s">
        <v>70</v>
      </c>
      <c r="C28" s="10" t="s">
        <v>44</v>
      </c>
      <c r="D28" s="11">
        <v>45103</v>
      </c>
      <c r="E28" s="12">
        <v>650000</v>
      </c>
      <c r="F28" s="10" t="s">
        <v>22</v>
      </c>
      <c r="G28" s="10" t="s">
        <v>23</v>
      </c>
      <c r="H28" s="12">
        <v>650000</v>
      </c>
      <c r="I28" s="12">
        <v>299260</v>
      </c>
      <c r="J28" s="13">
        <f t="shared" si="5"/>
        <v>46.04</v>
      </c>
      <c r="K28" s="12">
        <v>598527</v>
      </c>
      <c r="L28" s="12">
        <f>H28-473466</f>
        <v>176534</v>
      </c>
      <c r="M28" s="12">
        <v>125061</v>
      </c>
      <c r="N28" s="12">
        <f t="shared" si="6"/>
        <v>195000</v>
      </c>
      <c r="O28" s="14">
        <v>0.39600000000000002</v>
      </c>
      <c r="P28" s="12">
        <f t="shared" si="7"/>
        <v>445792.9292929293</v>
      </c>
      <c r="Q28" s="15">
        <f t="shared" si="8"/>
        <v>10.233997458515365</v>
      </c>
      <c r="R28" s="15">
        <f t="shared" si="9"/>
        <v>7.2500139132370531</v>
      </c>
      <c r="S28" s="10" t="s">
        <v>24</v>
      </c>
    </row>
    <row r="29" spans="1:19" x14ac:dyDescent="0.25">
      <c r="A29" s="10" t="s">
        <v>71</v>
      </c>
      <c r="B29" s="10" t="s">
        <v>72</v>
      </c>
      <c r="C29" s="10" t="s">
        <v>44</v>
      </c>
      <c r="D29" s="11">
        <v>45562</v>
      </c>
      <c r="E29" s="12">
        <v>520000</v>
      </c>
      <c r="F29" s="10" t="s">
        <v>22</v>
      </c>
      <c r="G29" s="10" t="s">
        <v>23</v>
      </c>
      <c r="H29" s="12">
        <v>520000</v>
      </c>
      <c r="I29" s="12">
        <v>225800</v>
      </c>
      <c r="J29" s="13">
        <f t="shared" si="5"/>
        <v>43.423076923076927</v>
      </c>
      <c r="K29" s="12">
        <v>451597</v>
      </c>
      <c r="L29" s="12">
        <f>H29-335695</f>
        <v>184305</v>
      </c>
      <c r="M29" s="12">
        <v>115902</v>
      </c>
      <c r="N29" s="12">
        <f t="shared" si="6"/>
        <v>156000</v>
      </c>
      <c r="O29" s="14">
        <v>0.36699999999999999</v>
      </c>
      <c r="P29" s="12">
        <f t="shared" si="7"/>
        <v>502193.46049046324</v>
      </c>
      <c r="Q29" s="15">
        <f t="shared" si="8"/>
        <v>11.52877549335315</v>
      </c>
      <c r="R29" s="15">
        <f t="shared" si="9"/>
        <v>7.2499831107708248</v>
      </c>
      <c r="S29" s="10" t="s">
        <v>24</v>
      </c>
    </row>
    <row r="30" spans="1:19" x14ac:dyDescent="0.25">
      <c r="A30" s="10" t="s">
        <v>73</v>
      </c>
      <c r="B30" s="10" t="s">
        <v>74</v>
      </c>
      <c r="C30" s="10" t="s">
        <v>44</v>
      </c>
      <c r="D30" s="11">
        <v>45645</v>
      </c>
      <c r="E30" s="12">
        <v>440000</v>
      </c>
      <c r="F30" s="10" t="s">
        <v>22</v>
      </c>
      <c r="G30" s="10" t="s">
        <v>23</v>
      </c>
      <c r="H30" s="12">
        <v>440000</v>
      </c>
      <c r="I30" s="12">
        <v>173080</v>
      </c>
      <c r="J30" s="13">
        <f t="shared" si="5"/>
        <v>39.336363636363636</v>
      </c>
      <c r="K30" s="12">
        <v>346169</v>
      </c>
      <c r="L30" s="12">
        <f>H30-248457</f>
        <v>191543</v>
      </c>
      <c r="M30" s="12">
        <v>97712</v>
      </c>
      <c r="N30" s="12">
        <f t="shared" si="6"/>
        <v>132000</v>
      </c>
      <c r="O30" s="14">
        <v>0.442</v>
      </c>
      <c r="P30" s="12">
        <f t="shared" si="7"/>
        <v>433355.20361990947</v>
      </c>
      <c r="Q30" s="15">
        <f t="shared" si="8"/>
        <v>9.9484665661136251</v>
      </c>
      <c r="R30" s="15">
        <f t="shared" si="9"/>
        <v>5.07502004828208</v>
      </c>
      <c r="S30" s="10" t="s">
        <v>24</v>
      </c>
    </row>
    <row r="31" spans="1:19" ht="15.75" thickBot="1" x14ac:dyDescent="0.3">
      <c r="A31" s="16"/>
      <c r="B31" s="16"/>
      <c r="C31" s="16"/>
      <c r="D31" s="17"/>
      <c r="E31" s="18"/>
      <c r="F31" s="16"/>
      <c r="G31" s="16"/>
      <c r="H31" s="18"/>
      <c r="I31" s="18"/>
      <c r="J31" s="19"/>
      <c r="K31" s="18"/>
      <c r="L31" s="18">
        <f>AVERAGE(L15:L30)</f>
        <v>140404.3125</v>
      </c>
      <c r="M31" s="18">
        <f>AVERAGE(M15:M30)</f>
        <v>118186</v>
      </c>
      <c r="N31" s="18">
        <f>AVERAGE(N15:N30)</f>
        <v>137679.375</v>
      </c>
      <c r="O31" s="20"/>
      <c r="P31" s="18"/>
      <c r="Q31" s="21">
        <f>AVERAGE(Q15:Q30)</f>
        <v>8.0725335004477259</v>
      </c>
      <c r="R31" s="21">
        <f>AVERAGE(R15:R30)</f>
        <v>6.7062523377470198</v>
      </c>
      <c r="S31" s="16"/>
    </row>
    <row r="32" spans="1:19" ht="15.75" thickTop="1" x14ac:dyDescent="0.25">
      <c r="A32" s="10"/>
      <c r="B32" s="10"/>
      <c r="C32" s="10"/>
      <c r="D32" s="11"/>
      <c r="E32" s="12"/>
      <c r="F32" s="10"/>
      <c r="G32" s="10"/>
      <c r="H32" s="12"/>
      <c r="I32" s="12"/>
      <c r="J32" s="13"/>
      <c r="K32" s="12"/>
      <c r="L32" s="12"/>
      <c r="M32" s="12"/>
      <c r="N32" s="12"/>
      <c r="O32" s="14"/>
      <c r="P32" s="12"/>
      <c r="Q32" s="15"/>
      <c r="R32" s="15"/>
      <c r="S32" s="10"/>
    </row>
    <row r="33" spans="1:19" x14ac:dyDescent="0.25">
      <c r="A33" s="10"/>
      <c r="B33" s="10"/>
      <c r="C33" s="10"/>
      <c r="D33" s="11"/>
      <c r="E33" s="12"/>
      <c r="F33" s="10"/>
      <c r="G33" s="10"/>
      <c r="H33" s="12"/>
      <c r="I33" s="12"/>
      <c r="J33" s="13"/>
      <c r="K33" s="12"/>
      <c r="L33" s="12"/>
      <c r="M33" s="12"/>
      <c r="N33" s="12"/>
      <c r="O33" s="14"/>
      <c r="P33" s="12"/>
      <c r="Q33" s="15"/>
      <c r="R33" s="15"/>
      <c r="S33" s="10"/>
    </row>
    <row r="34" spans="1:19" x14ac:dyDescent="0.25">
      <c r="A34" s="10" t="s">
        <v>75</v>
      </c>
      <c r="B34" s="10" t="s">
        <v>76</v>
      </c>
      <c r="C34" s="10" t="s">
        <v>77</v>
      </c>
      <c r="D34" s="11">
        <v>45121</v>
      </c>
      <c r="E34" s="12">
        <v>342000</v>
      </c>
      <c r="F34" s="10" t="s">
        <v>22</v>
      </c>
      <c r="G34" s="10" t="s">
        <v>23</v>
      </c>
      <c r="H34" s="12">
        <v>342000</v>
      </c>
      <c r="I34" s="12">
        <v>167910</v>
      </c>
      <c r="J34" s="13">
        <f t="shared" ref="J34:J42" si="10">I34/H34*100</f>
        <v>49.096491228070178</v>
      </c>
      <c r="K34" s="12">
        <v>335828</v>
      </c>
      <c r="L34" s="12">
        <f>H34-272274</f>
        <v>69726</v>
      </c>
      <c r="M34" s="12">
        <v>63554</v>
      </c>
      <c r="N34" s="12">
        <f t="shared" ref="N34:N42" si="11">E34*0.3</f>
        <v>102600</v>
      </c>
      <c r="O34" s="14">
        <v>0.51700000000000002</v>
      </c>
      <c r="P34" s="12">
        <f t="shared" ref="P34:P42" si="12">L34/O34</f>
        <v>134866.53771760155</v>
      </c>
      <c r="Q34" s="15">
        <f t="shared" ref="Q34:Q42" si="13">L34/O34/43560</f>
        <v>3.0961096813039841</v>
      </c>
      <c r="R34" s="15">
        <f t="shared" ref="R34:R42" si="14">M34/O34/43560</f>
        <v>2.8220485139774749</v>
      </c>
      <c r="S34" s="10" t="s">
        <v>24</v>
      </c>
    </row>
    <row r="35" spans="1:19" x14ac:dyDescent="0.25">
      <c r="A35" s="10" t="s">
        <v>78</v>
      </c>
      <c r="B35" s="10" t="s">
        <v>79</v>
      </c>
      <c r="C35" s="10" t="s">
        <v>77</v>
      </c>
      <c r="D35" s="11">
        <v>45182</v>
      </c>
      <c r="E35" s="12">
        <v>371025</v>
      </c>
      <c r="F35" s="10" t="s">
        <v>29</v>
      </c>
      <c r="G35" s="10" t="s">
        <v>23</v>
      </c>
      <c r="H35" s="12">
        <v>371025</v>
      </c>
      <c r="I35" s="12">
        <v>172210</v>
      </c>
      <c r="J35" s="13">
        <f t="shared" si="10"/>
        <v>46.414662084765176</v>
      </c>
      <c r="K35" s="12">
        <v>344412</v>
      </c>
      <c r="L35" s="12">
        <f>H35-280858</f>
        <v>90167</v>
      </c>
      <c r="M35" s="12">
        <v>63554</v>
      </c>
      <c r="N35" s="12">
        <f t="shared" si="11"/>
        <v>111307.5</v>
      </c>
      <c r="O35" s="14">
        <v>0.51700000000000002</v>
      </c>
      <c r="P35" s="12">
        <f t="shared" si="12"/>
        <v>174404.25531914894</v>
      </c>
      <c r="Q35" s="15">
        <f t="shared" si="13"/>
        <v>4.0037707832678819</v>
      </c>
      <c r="R35" s="15">
        <f t="shared" si="14"/>
        <v>2.8220485139774749</v>
      </c>
      <c r="S35" s="10" t="s">
        <v>24</v>
      </c>
    </row>
    <row r="36" spans="1:19" x14ac:dyDescent="0.25">
      <c r="A36" s="10" t="s">
        <v>80</v>
      </c>
      <c r="B36" s="10" t="s">
        <v>81</v>
      </c>
      <c r="C36" s="10" t="s">
        <v>77</v>
      </c>
      <c r="D36" s="11">
        <v>45023</v>
      </c>
      <c r="E36" s="12">
        <v>335000</v>
      </c>
      <c r="F36" s="10" t="s">
        <v>29</v>
      </c>
      <c r="G36" s="10" t="s">
        <v>23</v>
      </c>
      <c r="H36" s="12">
        <v>335000</v>
      </c>
      <c r="I36" s="12">
        <v>171040</v>
      </c>
      <c r="J36" s="13">
        <f t="shared" si="10"/>
        <v>51.056716417910451</v>
      </c>
      <c r="K36" s="12">
        <v>342077</v>
      </c>
      <c r="L36" s="12">
        <f>H36-278523</f>
        <v>56477</v>
      </c>
      <c r="M36" s="12">
        <v>63554</v>
      </c>
      <c r="N36" s="12">
        <f t="shared" si="11"/>
        <v>100500</v>
      </c>
      <c r="O36" s="14">
        <v>0.51700000000000002</v>
      </c>
      <c r="P36" s="12">
        <f t="shared" si="12"/>
        <v>109239.84526112185</v>
      </c>
      <c r="Q36" s="15">
        <f t="shared" si="13"/>
        <v>2.5078017736713005</v>
      </c>
      <c r="R36" s="15">
        <f t="shared" si="14"/>
        <v>2.8220485139774749</v>
      </c>
      <c r="S36" s="10" t="s">
        <v>24</v>
      </c>
    </row>
    <row r="37" spans="1:19" x14ac:dyDescent="0.25">
      <c r="A37" s="10" t="s">
        <v>82</v>
      </c>
      <c r="B37" s="10" t="s">
        <v>83</v>
      </c>
      <c r="C37" s="10" t="s">
        <v>77</v>
      </c>
      <c r="D37" s="11">
        <v>45259</v>
      </c>
      <c r="E37" s="12">
        <v>400000</v>
      </c>
      <c r="F37" s="10" t="s">
        <v>29</v>
      </c>
      <c r="G37" s="10" t="s">
        <v>23</v>
      </c>
      <c r="H37" s="12">
        <v>400000</v>
      </c>
      <c r="I37" s="12">
        <v>206870</v>
      </c>
      <c r="J37" s="13">
        <f t="shared" si="10"/>
        <v>51.717500000000008</v>
      </c>
      <c r="K37" s="12">
        <v>413746</v>
      </c>
      <c r="L37" s="12">
        <f>H37-350192</f>
        <v>49808</v>
      </c>
      <c r="M37" s="12">
        <v>63554</v>
      </c>
      <c r="N37" s="12">
        <f t="shared" si="11"/>
        <v>120000</v>
      </c>
      <c r="O37" s="14">
        <v>0.51700000000000002</v>
      </c>
      <c r="P37" s="12">
        <f t="shared" si="12"/>
        <v>96340.425531914894</v>
      </c>
      <c r="Q37" s="15">
        <f t="shared" si="13"/>
        <v>2.2116718441670087</v>
      </c>
      <c r="R37" s="15">
        <f t="shared" si="14"/>
        <v>2.8220485139774749</v>
      </c>
      <c r="S37" s="10" t="s">
        <v>24</v>
      </c>
    </row>
    <row r="38" spans="1:19" x14ac:dyDescent="0.25">
      <c r="A38" s="10" t="s">
        <v>84</v>
      </c>
      <c r="B38" s="10" t="s">
        <v>85</v>
      </c>
      <c r="C38" s="10" t="s">
        <v>77</v>
      </c>
      <c r="D38" s="11">
        <v>45183</v>
      </c>
      <c r="E38" s="12">
        <v>393000</v>
      </c>
      <c r="F38" s="10" t="s">
        <v>22</v>
      </c>
      <c r="G38" s="10" t="s">
        <v>23</v>
      </c>
      <c r="H38" s="12">
        <v>393000</v>
      </c>
      <c r="I38" s="12">
        <v>179900</v>
      </c>
      <c r="J38" s="13">
        <f t="shared" si="10"/>
        <v>45.776081424936386</v>
      </c>
      <c r="K38" s="12">
        <v>359801</v>
      </c>
      <c r="L38" s="12">
        <f>H38-258864</f>
        <v>134136</v>
      </c>
      <c r="M38" s="12">
        <v>100937</v>
      </c>
      <c r="N38" s="12">
        <f t="shared" si="11"/>
        <v>117900</v>
      </c>
      <c r="O38" s="14">
        <v>0.753</v>
      </c>
      <c r="P38" s="12">
        <f t="shared" si="12"/>
        <v>178135.45816733068</v>
      </c>
      <c r="Q38" s="15">
        <f t="shared" si="13"/>
        <v>4.0894274143097036</v>
      </c>
      <c r="R38" s="15">
        <f t="shared" si="14"/>
        <v>3.0772837636292909</v>
      </c>
      <c r="S38" s="10" t="s">
        <v>24</v>
      </c>
    </row>
    <row r="39" spans="1:19" x14ac:dyDescent="0.25">
      <c r="A39" s="10" t="s">
        <v>86</v>
      </c>
      <c r="B39" s="10" t="s">
        <v>87</v>
      </c>
      <c r="C39" s="10" t="s">
        <v>77</v>
      </c>
      <c r="D39" s="11">
        <v>45667</v>
      </c>
      <c r="E39" s="12">
        <v>475000</v>
      </c>
      <c r="F39" s="10" t="s">
        <v>22</v>
      </c>
      <c r="G39" s="10" t="s">
        <v>23</v>
      </c>
      <c r="H39" s="12">
        <v>475000</v>
      </c>
      <c r="I39" s="12">
        <v>236600</v>
      </c>
      <c r="J39" s="13">
        <f t="shared" si="10"/>
        <v>49.810526315789474</v>
      </c>
      <c r="K39" s="12">
        <v>473197</v>
      </c>
      <c r="L39" s="12">
        <f>H39-417927</f>
        <v>57073</v>
      </c>
      <c r="M39" s="12">
        <v>55270</v>
      </c>
      <c r="N39" s="12">
        <f t="shared" si="11"/>
        <v>142500</v>
      </c>
      <c r="O39" s="14">
        <v>0.371</v>
      </c>
      <c r="P39" s="12">
        <f t="shared" si="12"/>
        <v>153835.57951482479</v>
      </c>
      <c r="Q39" s="15">
        <f t="shared" si="13"/>
        <v>3.5315789603954268</v>
      </c>
      <c r="R39" s="15">
        <f t="shared" si="14"/>
        <v>3.4200124251582227</v>
      </c>
      <c r="S39" s="10" t="s">
        <v>24</v>
      </c>
    </row>
    <row r="40" spans="1:19" x14ac:dyDescent="0.25">
      <c r="A40" s="10" t="s">
        <v>88</v>
      </c>
      <c r="B40" s="10" t="s">
        <v>89</v>
      </c>
      <c r="C40" s="10" t="s">
        <v>77</v>
      </c>
      <c r="D40" s="11">
        <v>45706</v>
      </c>
      <c r="E40" s="12">
        <v>440000</v>
      </c>
      <c r="F40" s="10" t="s">
        <v>22</v>
      </c>
      <c r="G40" s="10" t="s">
        <v>23</v>
      </c>
      <c r="H40" s="12">
        <v>440000</v>
      </c>
      <c r="I40" s="12">
        <v>200870</v>
      </c>
      <c r="J40" s="13">
        <f t="shared" si="10"/>
        <v>45.652272727272724</v>
      </c>
      <c r="K40" s="12">
        <v>401733</v>
      </c>
      <c r="L40" s="12">
        <f>H40-353688</f>
        <v>86312</v>
      </c>
      <c r="M40" s="12">
        <v>48045</v>
      </c>
      <c r="N40" s="12">
        <f t="shared" si="11"/>
        <v>132000</v>
      </c>
      <c r="O40" s="14">
        <v>0.38700000000000001</v>
      </c>
      <c r="P40" s="12">
        <f t="shared" si="12"/>
        <v>223028.42377260982</v>
      </c>
      <c r="Q40" s="15">
        <f t="shared" si="13"/>
        <v>5.1200280939533931</v>
      </c>
      <c r="R40" s="15">
        <f t="shared" si="14"/>
        <v>2.8500295413614651</v>
      </c>
      <c r="S40" s="10" t="s">
        <v>24</v>
      </c>
    </row>
    <row r="41" spans="1:19" x14ac:dyDescent="0.25">
      <c r="A41" s="10" t="s">
        <v>90</v>
      </c>
      <c r="B41" s="10" t="s">
        <v>91</v>
      </c>
      <c r="C41" s="10" t="s">
        <v>77</v>
      </c>
      <c r="D41" s="11">
        <v>45470</v>
      </c>
      <c r="E41" s="12">
        <v>512500</v>
      </c>
      <c r="F41" s="10" t="s">
        <v>22</v>
      </c>
      <c r="G41" s="10" t="s">
        <v>23</v>
      </c>
      <c r="H41" s="12">
        <v>512500</v>
      </c>
      <c r="I41" s="12">
        <v>203380</v>
      </c>
      <c r="J41" s="13">
        <f t="shared" si="10"/>
        <v>39.683902439024386</v>
      </c>
      <c r="K41" s="12">
        <v>406752</v>
      </c>
      <c r="L41" s="12">
        <f>H41-363549</f>
        <v>148951</v>
      </c>
      <c r="M41" s="12">
        <v>43203</v>
      </c>
      <c r="N41" s="12">
        <f t="shared" si="11"/>
        <v>153750</v>
      </c>
      <c r="O41" s="14">
        <v>0.34799999999999998</v>
      </c>
      <c r="P41" s="12">
        <f t="shared" si="12"/>
        <v>428020.11494252877</v>
      </c>
      <c r="Q41" s="15">
        <f t="shared" si="13"/>
        <v>9.8259897828863352</v>
      </c>
      <c r="R41" s="15">
        <f t="shared" si="14"/>
        <v>2.8500126658433871</v>
      </c>
      <c r="S41" s="10" t="s">
        <v>24</v>
      </c>
    </row>
    <row r="42" spans="1:19" x14ac:dyDescent="0.25">
      <c r="A42" s="10" t="s">
        <v>92</v>
      </c>
      <c r="B42" s="10" t="s">
        <v>93</v>
      </c>
      <c r="C42" s="10" t="s">
        <v>77</v>
      </c>
      <c r="D42" s="11">
        <v>45169</v>
      </c>
      <c r="E42" s="12">
        <v>465000</v>
      </c>
      <c r="F42" s="10" t="s">
        <v>29</v>
      </c>
      <c r="G42" s="10" t="s">
        <v>23</v>
      </c>
      <c r="H42" s="12">
        <v>465000</v>
      </c>
      <c r="I42" s="12">
        <v>258940</v>
      </c>
      <c r="J42" s="13">
        <f t="shared" si="10"/>
        <v>55.686021505376345</v>
      </c>
      <c r="K42" s="12">
        <v>517885</v>
      </c>
      <c r="L42" s="12">
        <f>H42-454331</f>
        <v>10669</v>
      </c>
      <c r="M42" s="12">
        <v>63554</v>
      </c>
      <c r="N42" s="12">
        <f t="shared" si="11"/>
        <v>139500</v>
      </c>
      <c r="O42" s="14">
        <v>0.51700000000000002</v>
      </c>
      <c r="P42" s="12">
        <f t="shared" si="12"/>
        <v>20636.363636363636</v>
      </c>
      <c r="Q42" s="15">
        <f t="shared" si="13"/>
        <v>0.47374572167960599</v>
      </c>
      <c r="R42" s="15">
        <f t="shared" si="14"/>
        <v>2.8220485139774749</v>
      </c>
      <c r="S42" s="10" t="s">
        <v>24</v>
      </c>
    </row>
    <row r="43" spans="1:19" ht="15.75" thickBot="1" x14ac:dyDescent="0.3">
      <c r="A43" s="16"/>
      <c r="B43" s="16"/>
      <c r="C43" s="16"/>
      <c r="D43" s="17"/>
      <c r="E43" s="18"/>
      <c r="F43" s="16"/>
      <c r="G43" s="16"/>
      <c r="H43" s="18"/>
      <c r="I43" s="18"/>
      <c r="J43" s="19"/>
      <c r="K43" s="18"/>
      <c r="L43" s="18">
        <f>AVERAGE(L34:L42)</f>
        <v>78146.555555555562</v>
      </c>
      <c r="M43" s="18">
        <f>AVERAGE(M34:M42)</f>
        <v>62802.777777777781</v>
      </c>
      <c r="N43" s="18">
        <f>AVERAGE(N34:N42)</f>
        <v>124450.83333333333</v>
      </c>
      <c r="O43" s="20"/>
      <c r="P43" s="18"/>
      <c r="Q43" s="21">
        <f>AVERAGE(Q34:Q42)</f>
        <v>3.8733471172927381</v>
      </c>
      <c r="R43" s="21">
        <f>AVERAGE(R34:R42)</f>
        <v>2.9230645517644156</v>
      </c>
      <c r="S43" s="16"/>
    </row>
    <row r="44" spans="1:19" ht="15.75" thickTop="1" x14ac:dyDescent="0.25">
      <c r="A44" s="10"/>
      <c r="B44" s="10"/>
      <c r="C44" s="10"/>
      <c r="D44" s="11"/>
      <c r="E44" s="12"/>
      <c r="F44" s="10"/>
      <c r="G44" s="10"/>
      <c r="H44" s="12"/>
      <c r="I44" s="12"/>
      <c r="J44" s="13"/>
      <c r="K44" s="12"/>
      <c r="L44" s="12"/>
      <c r="M44" s="12"/>
      <c r="N44" s="12"/>
      <c r="O44" s="14"/>
      <c r="P44" s="12"/>
      <c r="Q44" s="15"/>
      <c r="R44" s="15"/>
      <c r="S44" s="10"/>
    </row>
    <row r="45" spans="1:19" x14ac:dyDescent="0.25">
      <c r="A45" s="10"/>
      <c r="B45" s="10"/>
      <c r="C45" s="10"/>
      <c r="D45" s="11"/>
      <c r="E45" s="12"/>
      <c r="F45" s="10"/>
      <c r="G45" s="10"/>
      <c r="H45" s="12"/>
      <c r="I45" s="12"/>
      <c r="J45" s="13"/>
      <c r="K45" s="12"/>
      <c r="L45" s="12"/>
      <c r="M45" s="12"/>
      <c r="N45" s="12"/>
      <c r="O45" s="14"/>
      <c r="P45" s="12"/>
      <c r="Q45" s="15"/>
      <c r="R45" s="15"/>
      <c r="S45" s="10"/>
    </row>
    <row r="46" spans="1:19" x14ac:dyDescent="0.25">
      <c r="A46" s="10" t="s">
        <v>94</v>
      </c>
      <c r="B46" s="10" t="s">
        <v>95</v>
      </c>
      <c r="C46" s="10" t="s">
        <v>96</v>
      </c>
      <c r="D46" s="11">
        <v>45456</v>
      </c>
      <c r="E46" s="12">
        <v>325000</v>
      </c>
      <c r="F46" s="10" t="s">
        <v>22</v>
      </c>
      <c r="G46" s="10" t="s">
        <v>23</v>
      </c>
      <c r="H46" s="12">
        <v>325000</v>
      </c>
      <c r="I46" s="12">
        <v>197670</v>
      </c>
      <c r="J46" s="13">
        <f t="shared" ref="J46:J89" si="15">I46/H46*100</f>
        <v>60.821538461538459</v>
      </c>
      <c r="K46" s="12">
        <v>395341</v>
      </c>
      <c r="L46" s="12">
        <f>H46-300341</f>
        <v>24659</v>
      </c>
      <c r="M46" s="12">
        <v>95000</v>
      </c>
      <c r="N46" s="12">
        <f t="shared" ref="N46:N89" si="16">E46*0.3</f>
        <v>97500</v>
      </c>
      <c r="O46" s="14">
        <v>1</v>
      </c>
      <c r="P46" s="12">
        <f t="shared" ref="P46:P89" si="17">L46/O46</f>
        <v>24659</v>
      </c>
      <c r="Q46" s="15">
        <f t="shared" ref="Q46:Q89" si="18">L46/O46/43560</f>
        <v>0.56609274563820022</v>
      </c>
      <c r="R46" s="15">
        <f t="shared" ref="R46:R89" si="19">M46/O46/43560</f>
        <v>2.1808999081726355</v>
      </c>
      <c r="S46" s="10" t="s">
        <v>97</v>
      </c>
    </row>
    <row r="47" spans="1:19" x14ac:dyDescent="0.25">
      <c r="A47" s="10" t="s">
        <v>98</v>
      </c>
      <c r="B47" s="10" t="s">
        <v>99</v>
      </c>
      <c r="C47" s="10" t="s">
        <v>96</v>
      </c>
      <c r="D47" s="11">
        <v>45043</v>
      </c>
      <c r="E47" s="12">
        <v>440000</v>
      </c>
      <c r="F47" s="10" t="s">
        <v>22</v>
      </c>
      <c r="G47" s="10" t="s">
        <v>23</v>
      </c>
      <c r="H47" s="12">
        <v>440000</v>
      </c>
      <c r="I47" s="12">
        <v>210210</v>
      </c>
      <c r="J47" s="13">
        <f t="shared" si="15"/>
        <v>47.774999999999999</v>
      </c>
      <c r="K47" s="12">
        <v>420425</v>
      </c>
      <c r="L47" s="12">
        <f>H47-325425</f>
        <v>114575</v>
      </c>
      <c r="M47" s="12">
        <v>95000</v>
      </c>
      <c r="N47" s="12">
        <f t="shared" si="16"/>
        <v>132000</v>
      </c>
      <c r="O47" s="14">
        <v>1</v>
      </c>
      <c r="P47" s="12">
        <f t="shared" si="17"/>
        <v>114575</v>
      </c>
      <c r="Q47" s="15">
        <f t="shared" si="18"/>
        <v>2.6302800734618916</v>
      </c>
      <c r="R47" s="15">
        <f t="shared" si="19"/>
        <v>2.1808999081726355</v>
      </c>
      <c r="S47" s="10" t="s">
        <v>97</v>
      </c>
    </row>
    <row r="48" spans="1:19" x14ac:dyDescent="0.25">
      <c r="A48" s="10" t="s">
        <v>98</v>
      </c>
      <c r="B48" s="10" t="s">
        <v>99</v>
      </c>
      <c r="C48" s="10" t="s">
        <v>96</v>
      </c>
      <c r="D48" s="11">
        <v>45510</v>
      </c>
      <c r="E48" s="12">
        <v>525000</v>
      </c>
      <c r="F48" s="10" t="s">
        <v>22</v>
      </c>
      <c r="G48" s="10" t="s">
        <v>23</v>
      </c>
      <c r="H48" s="12">
        <v>525000</v>
      </c>
      <c r="I48" s="12">
        <v>210210</v>
      </c>
      <c r="J48" s="13">
        <f t="shared" si="15"/>
        <v>40.04</v>
      </c>
      <c r="K48" s="12">
        <v>420425</v>
      </c>
      <c r="L48" s="12">
        <f>H48-325425</f>
        <v>199575</v>
      </c>
      <c r="M48" s="12">
        <v>95000</v>
      </c>
      <c r="N48" s="12">
        <f t="shared" si="16"/>
        <v>157500</v>
      </c>
      <c r="O48" s="14">
        <v>1</v>
      </c>
      <c r="P48" s="12">
        <f t="shared" si="17"/>
        <v>199575</v>
      </c>
      <c r="Q48" s="15">
        <f t="shared" si="18"/>
        <v>4.5816115702479339</v>
      </c>
      <c r="R48" s="15">
        <f t="shared" si="19"/>
        <v>2.1808999081726355</v>
      </c>
      <c r="S48" s="10" t="s">
        <v>97</v>
      </c>
    </row>
    <row r="49" spans="1:19" x14ac:dyDescent="0.25">
      <c r="A49" s="10" t="s">
        <v>100</v>
      </c>
      <c r="B49" s="10" t="s">
        <v>101</v>
      </c>
      <c r="C49" s="10" t="s">
        <v>96</v>
      </c>
      <c r="D49" s="11">
        <v>45716</v>
      </c>
      <c r="E49" s="12">
        <v>575000</v>
      </c>
      <c r="F49" s="10" t="s">
        <v>29</v>
      </c>
      <c r="G49" s="10" t="s">
        <v>23</v>
      </c>
      <c r="H49" s="12">
        <v>575000</v>
      </c>
      <c r="I49" s="12">
        <v>244200</v>
      </c>
      <c r="J49" s="13">
        <f t="shared" si="15"/>
        <v>42.469565217391306</v>
      </c>
      <c r="K49" s="12">
        <v>488395</v>
      </c>
      <c r="L49" s="12">
        <f>H49-393395</f>
        <v>181605</v>
      </c>
      <c r="M49" s="12">
        <v>95000</v>
      </c>
      <c r="N49" s="12">
        <f t="shared" si="16"/>
        <v>172500</v>
      </c>
      <c r="O49" s="14">
        <v>1</v>
      </c>
      <c r="P49" s="12">
        <f t="shared" si="17"/>
        <v>181605</v>
      </c>
      <c r="Q49" s="15">
        <f t="shared" si="18"/>
        <v>4.1690771349862255</v>
      </c>
      <c r="R49" s="15">
        <f t="shared" si="19"/>
        <v>2.1808999081726355</v>
      </c>
      <c r="S49" s="10" t="s">
        <v>97</v>
      </c>
    </row>
    <row r="50" spans="1:19" x14ac:dyDescent="0.25">
      <c r="A50" s="10" t="s">
        <v>102</v>
      </c>
      <c r="B50" s="10" t="s">
        <v>103</v>
      </c>
      <c r="C50" s="10" t="s">
        <v>96</v>
      </c>
      <c r="D50" s="11">
        <v>45468</v>
      </c>
      <c r="E50" s="12">
        <v>651000</v>
      </c>
      <c r="F50" s="10" t="s">
        <v>29</v>
      </c>
      <c r="G50" s="10" t="s">
        <v>23</v>
      </c>
      <c r="H50" s="12">
        <v>651000</v>
      </c>
      <c r="I50" s="12">
        <v>264990</v>
      </c>
      <c r="J50" s="13">
        <f t="shared" si="15"/>
        <v>40.705069124423964</v>
      </c>
      <c r="K50" s="12">
        <v>529974</v>
      </c>
      <c r="L50" s="12">
        <f>H50-434974</f>
        <v>216026</v>
      </c>
      <c r="M50" s="12">
        <v>95000</v>
      </c>
      <c r="N50" s="12">
        <f t="shared" si="16"/>
        <v>195300</v>
      </c>
      <c r="O50" s="14">
        <v>1</v>
      </c>
      <c r="P50" s="12">
        <f t="shared" si="17"/>
        <v>216026</v>
      </c>
      <c r="Q50" s="15">
        <f t="shared" si="18"/>
        <v>4.959274563820018</v>
      </c>
      <c r="R50" s="15">
        <f t="shared" si="19"/>
        <v>2.1808999081726355</v>
      </c>
      <c r="S50" s="10" t="s">
        <v>97</v>
      </c>
    </row>
    <row r="51" spans="1:19" x14ac:dyDescent="0.25">
      <c r="A51" s="10" t="s">
        <v>104</v>
      </c>
      <c r="B51" s="10" t="s">
        <v>105</v>
      </c>
      <c r="C51" s="10" t="s">
        <v>96</v>
      </c>
      <c r="D51" s="11">
        <v>45432</v>
      </c>
      <c r="E51" s="12">
        <v>400000</v>
      </c>
      <c r="F51" s="10" t="s">
        <v>22</v>
      </c>
      <c r="G51" s="10" t="s">
        <v>23</v>
      </c>
      <c r="H51" s="12">
        <v>400000</v>
      </c>
      <c r="I51" s="12">
        <v>189510</v>
      </c>
      <c r="J51" s="13">
        <f t="shared" si="15"/>
        <v>47.377499999999998</v>
      </c>
      <c r="K51" s="12">
        <v>379025</v>
      </c>
      <c r="L51" s="12">
        <f>H51-284025</f>
        <v>115975</v>
      </c>
      <c r="M51" s="12">
        <v>95000</v>
      </c>
      <c r="N51" s="12">
        <f t="shared" si="16"/>
        <v>120000</v>
      </c>
      <c r="O51" s="14">
        <v>1</v>
      </c>
      <c r="P51" s="12">
        <f t="shared" si="17"/>
        <v>115975</v>
      </c>
      <c r="Q51" s="15">
        <f t="shared" si="18"/>
        <v>2.6624196510560147</v>
      </c>
      <c r="R51" s="15">
        <f t="shared" si="19"/>
        <v>2.1808999081726355</v>
      </c>
      <c r="S51" s="10" t="s">
        <v>97</v>
      </c>
    </row>
    <row r="52" spans="1:19" x14ac:dyDescent="0.25">
      <c r="A52" s="10" t="s">
        <v>106</v>
      </c>
      <c r="B52" s="10" t="s">
        <v>107</v>
      </c>
      <c r="C52" s="10" t="s">
        <v>96</v>
      </c>
      <c r="D52" s="11">
        <v>45355</v>
      </c>
      <c r="E52" s="12">
        <v>427500</v>
      </c>
      <c r="F52" s="10" t="s">
        <v>22</v>
      </c>
      <c r="G52" s="10" t="s">
        <v>23</v>
      </c>
      <c r="H52" s="12">
        <v>427500</v>
      </c>
      <c r="I52" s="12">
        <v>195780</v>
      </c>
      <c r="J52" s="13">
        <f t="shared" si="15"/>
        <v>45.796491228070174</v>
      </c>
      <c r="K52" s="12">
        <v>391569</v>
      </c>
      <c r="L52" s="12">
        <f>H52-296569</f>
        <v>130931</v>
      </c>
      <c r="M52" s="12">
        <v>95000</v>
      </c>
      <c r="N52" s="12">
        <f t="shared" si="16"/>
        <v>128250</v>
      </c>
      <c r="O52" s="14">
        <v>1</v>
      </c>
      <c r="P52" s="12">
        <f t="shared" si="17"/>
        <v>130931</v>
      </c>
      <c r="Q52" s="15">
        <f t="shared" si="18"/>
        <v>3.0057621671258037</v>
      </c>
      <c r="R52" s="15">
        <f t="shared" si="19"/>
        <v>2.1808999081726355</v>
      </c>
      <c r="S52" s="10" t="s">
        <v>97</v>
      </c>
    </row>
    <row r="53" spans="1:19" x14ac:dyDescent="0.25">
      <c r="A53" s="10" t="s">
        <v>108</v>
      </c>
      <c r="B53" s="10" t="s">
        <v>109</v>
      </c>
      <c r="C53" s="10" t="s">
        <v>96</v>
      </c>
      <c r="D53" s="11">
        <v>45331</v>
      </c>
      <c r="E53" s="12">
        <v>325000</v>
      </c>
      <c r="F53" s="10" t="s">
        <v>22</v>
      </c>
      <c r="G53" s="10" t="s">
        <v>23</v>
      </c>
      <c r="H53" s="12">
        <v>325000</v>
      </c>
      <c r="I53" s="12">
        <v>188050</v>
      </c>
      <c r="J53" s="13">
        <f t="shared" si="15"/>
        <v>57.861538461538466</v>
      </c>
      <c r="K53" s="12">
        <v>376097</v>
      </c>
      <c r="L53" s="12">
        <f>H53-281097</f>
        <v>43903</v>
      </c>
      <c r="M53" s="12">
        <v>95000</v>
      </c>
      <c r="N53" s="12">
        <f t="shared" si="16"/>
        <v>97500</v>
      </c>
      <c r="O53" s="14">
        <v>1</v>
      </c>
      <c r="P53" s="12">
        <f t="shared" si="17"/>
        <v>43903</v>
      </c>
      <c r="Q53" s="15">
        <f t="shared" si="18"/>
        <v>1.0078741965105602</v>
      </c>
      <c r="R53" s="15">
        <f t="shared" si="19"/>
        <v>2.1808999081726355</v>
      </c>
      <c r="S53" s="10" t="s">
        <v>97</v>
      </c>
    </row>
    <row r="54" spans="1:19" x14ac:dyDescent="0.25">
      <c r="A54" s="10" t="s">
        <v>110</v>
      </c>
      <c r="B54" s="10" t="s">
        <v>111</v>
      </c>
      <c r="C54" s="10" t="s">
        <v>96</v>
      </c>
      <c r="D54" s="11">
        <v>45037</v>
      </c>
      <c r="E54" s="12">
        <v>437500</v>
      </c>
      <c r="F54" s="10" t="s">
        <v>22</v>
      </c>
      <c r="G54" s="10" t="s">
        <v>23</v>
      </c>
      <c r="H54" s="12">
        <v>437500</v>
      </c>
      <c r="I54" s="12">
        <v>223420</v>
      </c>
      <c r="J54" s="13">
        <f t="shared" si="15"/>
        <v>51.067428571428572</v>
      </c>
      <c r="K54" s="12">
        <v>446832</v>
      </c>
      <c r="L54" s="12">
        <f>H54-351832</f>
        <v>85668</v>
      </c>
      <c r="M54" s="12">
        <v>95000</v>
      </c>
      <c r="N54" s="12">
        <f t="shared" si="16"/>
        <v>131250</v>
      </c>
      <c r="O54" s="14">
        <v>1</v>
      </c>
      <c r="P54" s="12">
        <f t="shared" si="17"/>
        <v>85668</v>
      </c>
      <c r="Q54" s="15">
        <f t="shared" si="18"/>
        <v>1.9666666666666666</v>
      </c>
      <c r="R54" s="15">
        <f t="shared" si="19"/>
        <v>2.1808999081726355</v>
      </c>
      <c r="S54" s="10" t="s">
        <v>97</v>
      </c>
    </row>
    <row r="55" spans="1:19" x14ac:dyDescent="0.25">
      <c r="A55" s="10" t="s">
        <v>112</v>
      </c>
      <c r="B55" s="10" t="s">
        <v>113</v>
      </c>
      <c r="C55" s="10" t="s">
        <v>96</v>
      </c>
      <c r="D55" s="11">
        <v>45638</v>
      </c>
      <c r="E55" s="12">
        <v>300000</v>
      </c>
      <c r="F55" s="10" t="s">
        <v>29</v>
      </c>
      <c r="G55" s="10" t="s">
        <v>23</v>
      </c>
      <c r="H55" s="12">
        <v>300000</v>
      </c>
      <c r="I55" s="12">
        <v>186900</v>
      </c>
      <c r="J55" s="13">
        <f t="shared" si="15"/>
        <v>62.3</v>
      </c>
      <c r="K55" s="12">
        <v>373807</v>
      </c>
      <c r="L55" s="12">
        <f>H55-288807</f>
        <v>11193</v>
      </c>
      <c r="M55" s="12">
        <v>85000</v>
      </c>
      <c r="N55" s="12">
        <f t="shared" si="16"/>
        <v>90000</v>
      </c>
      <c r="O55" s="14">
        <v>1</v>
      </c>
      <c r="P55" s="12">
        <f t="shared" si="17"/>
        <v>11193</v>
      </c>
      <c r="Q55" s="15">
        <f t="shared" si="18"/>
        <v>0.25695592286501379</v>
      </c>
      <c r="R55" s="15">
        <f t="shared" si="19"/>
        <v>1.9513314967860422</v>
      </c>
      <c r="S55" s="10" t="s">
        <v>97</v>
      </c>
    </row>
    <row r="56" spans="1:19" x14ac:dyDescent="0.25">
      <c r="A56" s="10" t="s">
        <v>114</v>
      </c>
      <c r="B56" s="10" t="s">
        <v>115</v>
      </c>
      <c r="C56" s="10" t="s">
        <v>96</v>
      </c>
      <c r="D56" s="11">
        <v>45195</v>
      </c>
      <c r="E56" s="12">
        <v>530000</v>
      </c>
      <c r="F56" s="10" t="s">
        <v>22</v>
      </c>
      <c r="G56" s="10" t="s">
        <v>23</v>
      </c>
      <c r="H56" s="12">
        <v>530000</v>
      </c>
      <c r="I56" s="12">
        <v>240640</v>
      </c>
      <c r="J56" s="13">
        <f t="shared" si="15"/>
        <v>45.403773584905657</v>
      </c>
      <c r="K56" s="12">
        <v>481273</v>
      </c>
      <c r="L56" s="12">
        <f>H56-396273</f>
        <v>133727</v>
      </c>
      <c r="M56" s="12">
        <v>85000</v>
      </c>
      <c r="N56" s="12">
        <f t="shared" si="16"/>
        <v>159000</v>
      </c>
      <c r="O56" s="14">
        <v>1</v>
      </c>
      <c r="P56" s="12">
        <f t="shared" si="17"/>
        <v>133727</v>
      </c>
      <c r="Q56" s="15">
        <f t="shared" si="18"/>
        <v>3.069949494949495</v>
      </c>
      <c r="R56" s="15">
        <f t="shared" si="19"/>
        <v>1.9513314967860422</v>
      </c>
      <c r="S56" s="10" t="s">
        <v>97</v>
      </c>
    </row>
    <row r="57" spans="1:19" x14ac:dyDescent="0.25">
      <c r="A57" s="10" t="s">
        <v>116</v>
      </c>
      <c r="B57" s="10" t="s">
        <v>117</v>
      </c>
      <c r="C57" s="10" t="s">
        <v>96</v>
      </c>
      <c r="D57" s="11">
        <v>45561</v>
      </c>
      <c r="E57" s="12">
        <v>365000</v>
      </c>
      <c r="F57" s="10" t="s">
        <v>22</v>
      </c>
      <c r="G57" s="10" t="s">
        <v>23</v>
      </c>
      <c r="H57" s="12">
        <v>365000</v>
      </c>
      <c r="I57" s="12">
        <v>205060</v>
      </c>
      <c r="J57" s="13">
        <f t="shared" si="15"/>
        <v>56.180821917808224</v>
      </c>
      <c r="K57" s="12">
        <v>410125</v>
      </c>
      <c r="L57" s="12">
        <f>H57-325125</f>
        <v>39875</v>
      </c>
      <c r="M57" s="12">
        <v>85000</v>
      </c>
      <c r="N57" s="12">
        <f t="shared" si="16"/>
        <v>109500</v>
      </c>
      <c r="O57" s="14">
        <v>1</v>
      </c>
      <c r="P57" s="12">
        <f t="shared" si="17"/>
        <v>39875</v>
      </c>
      <c r="Q57" s="15">
        <f t="shared" si="18"/>
        <v>0.91540404040404044</v>
      </c>
      <c r="R57" s="15">
        <f t="shared" si="19"/>
        <v>1.9513314967860422</v>
      </c>
      <c r="S57" s="10" t="s">
        <v>97</v>
      </c>
    </row>
    <row r="58" spans="1:19" x14ac:dyDescent="0.25">
      <c r="A58" s="10" t="s">
        <v>118</v>
      </c>
      <c r="B58" s="10" t="s">
        <v>119</v>
      </c>
      <c r="C58" s="10" t="s">
        <v>96</v>
      </c>
      <c r="D58" s="11">
        <v>45019</v>
      </c>
      <c r="E58" s="12">
        <v>290000</v>
      </c>
      <c r="F58" s="10" t="s">
        <v>22</v>
      </c>
      <c r="G58" s="10" t="s">
        <v>23</v>
      </c>
      <c r="H58" s="12">
        <v>290000</v>
      </c>
      <c r="I58" s="12">
        <v>181160</v>
      </c>
      <c r="J58" s="13">
        <f t="shared" si="15"/>
        <v>62.468965517241379</v>
      </c>
      <c r="K58" s="12">
        <v>362314</v>
      </c>
      <c r="L58" s="12">
        <f>H58-267314</f>
        <v>22686</v>
      </c>
      <c r="M58" s="12">
        <v>95000</v>
      </c>
      <c r="N58" s="12">
        <f t="shared" si="16"/>
        <v>87000</v>
      </c>
      <c r="O58" s="14">
        <v>1</v>
      </c>
      <c r="P58" s="12">
        <f t="shared" si="17"/>
        <v>22686</v>
      </c>
      <c r="Q58" s="15">
        <f t="shared" si="18"/>
        <v>0.52079889807162538</v>
      </c>
      <c r="R58" s="15">
        <f t="shared" si="19"/>
        <v>2.1808999081726355</v>
      </c>
      <c r="S58" s="10" t="s">
        <v>97</v>
      </c>
    </row>
    <row r="59" spans="1:19" x14ac:dyDescent="0.25">
      <c r="A59" s="10" t="s">
        <v>120</v>
      </c>
      <c r="B59" s="10" t="s">
        <v>121</v>
      </c>
      <c r="C59" s="10" t="s">
        <v>96</v>
      </c>
      <c r="D59" s="11">
        <v>45170</v>
      </c>
      <c r="E59" s="12">
        <v>350000</v>
      </c>
      <c r="F59" s="10" t="s">
        <v>22</v>
      </c>
      <c r="G59" s="10" t="s">
        <v>23</v>
      </c>
      <c r="H59" s="12">
        <v>350000</v>
      </c>
      <c r="I59" s="12">
        <v>158900</v>
      </c>
      <c r="J59" s="13">
        <f t="shared" si="15"/>
        <v>45.4</v>
      </c>
      <c r="K59" s="12">
        <v>317804</v>
      </c>
      <c r="L59" s="12">
        <f>H59-232804</f>
        <v>117196</v>
      </c>
      <c r="M59" s="12">
        <v>85000</v>
      </c>
      <c r="N59" s="12">
        <f t="shared" si="16"/>
        <v>105000</v>
      </c>
      <c r="O59" s="14">
        <v>1</v>
      </c>
      <c r="P59" s="12">
        <f t="shared" si="17"/>
        <v>117196</v>
      </c>
      <c r="Q59" s="15">
        <f t="shared" si="18"/>
        <v>2.6904499540863176</v>
      </c>
      <c r="R59" s="15">
        <f t="shared" si="19"/>
        <v>1.9513314967860422</v>
      </c>
      <c r="S59" s="10" t="s">
        <v>97</v>
      </c>
    </row>
    <row r="60" spans="1:19" x14ac:dyDescent="0.25">
      <c r="A60" s="10" t="s">
        <v>122</v>
      </c>
      <c r="B60" s="10" t="s">
        <v>123</v>
      </c>
      <c r="C60" s="10" t="s">
        <v>96</v>
      </c>
      <c r="D60" s="11">
        <v>45205</v>
      </c>
      <c r="E60" s="12">
        <v>409000</v>
      </c>
      <c r="F60" s="10" t="s">
        <v>22</v>
      </c>
      <c r="G60" s="10" t="s">
        <v>23</v>
      </c>
      <c r="H60" s="12">
        <v>409000</v>
      </c>
      <c r="I60" s="12">
        <v>155290</v>
      </c>
      <c r="J60" s="13">
        <f t="shared" si="15"/>
        <v>37.96821515892421</v>
      </c>
      <c r="K60" s="12">
        <v>310585</v>
      </c>
      <c r="L60" s="12">
        <f>H60-225585</f>
        <v>183415</v>
      </c>
      <c r="M60" s="12">
        <v>85000</v>
      </c>
      <c r="N60" s="12">
        <f t="shared" si="16"/>
        <v>122700</v>
      </c>
      <c r="O60" s="14">
        <v>1</v>
      </c>
      <c r="P60" s="12">
        <f t="shared" si="17"/>
        <v>183415</v>
      </c>
      <c r="Q60" s="15">
        <f t="shared" si="18"/>
        <v>4.2106290174471992</v>
      </c>
      <c r="R60" s="15">
        <f t="shared" si="19"/>
        <v>1.9513314967860422</v>
      </c>
      <c r="S60" s="10" t="s">
        <v>97</v>
      </c>
    </row>
    <row r="61" spans="1:19" x14ac:dyDescent="0.25">
      <c r="A61" s="10" t="s">
        <v>124</v>
      </c>
      <c r="B61" s="10" t="s">
        <v>125</v>
      </c>
      <c r="C61" s="10" t="s">
        <v>96</v>
      </c>
      <c r="D61" s="11">
        <v>45126</v>
      </c>
      <c r="E61" s="12">
        <v>501000</v>
      </c>
      <c r="F61" s="10" t="s">
        <v>22</v>
      </c>
      <c r="G61" s="10" t="s">
        <v>23</v>
      </c>
      <c r="H61" s="12">
        <v>501000</v>
      </c>
      <c r="I61" s="12">
        <v>194100</v>
      </c>
      <c r="J61" s="13">
        <f t="shared" si="15"/>
        <v>38.742514970059879</v>
      </c>
      <c r="K61" s="12">
        <v>388206</v>
      </c>
      <c r="L61" s="12">
        <f>H61-303206</f>
        <v>197794</v>
      </c>
      <c r="M61" s="12">
        <v>85000</v>
      </c>
      <c r="N61" s="12">
        <f t="shared" si="16"/>
        <v>150300</v>
      </c>
      <c r="O61" s="14">
        <v>1</v>
      </c>
      <c r="P61" s="12">
        <f t="shared" si="17"/>
        <v>197794</v>
      </c>
      <c r="Q61" s="15">
        <f t="shared" si="18"/>
        <v>4.540725436179982</v>
      </c>
      <c r="R61" s="15">
        <f t="shared" si="19"/>
        <v>1.9513314967860422</v>
      </c>
      <c r="S61" s="10" t="s">
        <v>97</v>
      </c>
    </row>
    <row r="62" spans="1:19" x14ac:dyDescent="0.25">
      <c r="A62" s="10" t="s">
        <v>126</v>
      </c>
      <c r="B62" s="10" t="s">
        <v>127</v>
      </c>
      <c r="C62" s="10" t="s">
        <v>96</v>
      </c>
      <c r="D62" s="11">
        <v>45481</v>
      </c>
      <c r="E62" s="12">
        <v>339000</v>
      </c>
      <c r="F62" s="10" t="s">
        <v>22</v>
      </c>
      <c r="G62" s="10" t="s">
        <v>23</v>
      </c>
      <c r="H62" s="12">
        <v>339000</v>
      </c>
      <c r="I62" s="12">
        <v>174060</v>
      </c>
      <c r="J62" s="13">
        <f t="shared" si="15"/>
        <v>51.345132743362832</v>
      </c>
      <c r="K62" s="12">
        <v>348124</v>
      </c>
      <c r="L62" s="12">
        <f>H62-263124</f>
        <v>75876</v>
      </c>
      <c r="M62" s="12">
        <v>85000</v>
      </c>
      <c r="N62" s="12">
        <f t="shared" si="16"/>
        <v>101700</v>
      </c>
      <c r="O62" s="14">
        <v>1</v>
      </c>
      <c r="P62" s="12">
        <f t="shared" si="17"/>
        <v>75876</v>
      </c>
      <c r="Q62" s="15">
        <f t="shared" si="18"/>
        <v>1.7418732782369146</v>
      </c>
      <c r="R62" s="15">
        <f t="shared" si="19"/>
        <v>1.9513314967860422</v>
      </c>
      <c r="S62" s="10" t="s">
        <v>97</v>
      </c>
    </row>
    <row r="63" spans="1:19" x14ac:dyDescent="0.25">
      <c r="A63" s="10" t="s">
        <v>128</v>
      </c>
      <c r="B63" s="10" t="s">
        <v>129</v>
      </c>
      <c r="C63" s="10" t="s">
        <v>96</v>
      </c>
      <c r="D63" s="11">
        <v>45162</v>
      </c>
      <c r="E63" s="12">
        <v>345000</v>
      </c>
      <c r="F63" s="10" t="s">
        <v>22</v>
      </c>
      <c r="G63" s="10" t="s">
        <v>23</v>
      </c>
      <c r="H63" s="12">
        <v>345000</v>
      </c>
      <c r="I63" s="12">
        <v>180760</v>
      </c>
      <c r="J63" s="13">
        <f t="shared" si="15"/>
        <v>52.394202898550724</v>
      </c>
      <c r="K63" s="12">
        <v>361516</v>
      </c>
      <c r="L63" s="12">
        <f>H63-276516</f>
        <v>68484</v>
      </c>
      <c r="M63" s="12">
        <v>85000</v>
      </c>
      <c r="N63" s="12">
        <f t="shared" si="16"/>
        <v>103500</v>
      </c>
      <c r="O63" s="14">
        <v>1</v>
      </c>
      <c r="P63" s="12">
        <f t="shared" si="17"/>
        <v>68484</v>
      </c>
      <c r="Q63" s="15">
        <f t="shared" si="18"/>
        <v>1.5721763085399449</v>
      </c>
      <c r="R63" s="15">
        <f t="shared" si="19"/>
        <v>1.9513314967860422</v>
      </c>
      <c r="S63" s="10" t="s">
        <v>97</v>
      </c>
    </row>
    <row r="64" spans="1:19" x14ac:dyDescent="0.25">
      <c r="A64" s="10" t="s">
        <v>130</v>
      </c>
      <c r="B64" s="10" t="s">
        <v>131</v>
      </c>
      <c r="C64" s="10" t="s">
        <v>96</v>
      </c>
      <c r="D64" s="11">
        <v>45415</v>
      </c>
      <c r="E64" s="12">
        <v>405000</v>
      </c>
      <c r="F64" s="10" t="s">
        <v>22</v>
      </c>
      <c r="G64" s="10" t="s">
        <v>23</v>
      </c>
      <c r="H64" s="12">
        <v>405000</v>
      </c>
      <c r="I64" s="12">
        <v>200650</v>
      </c>
      <c r="J64" s="13">
        <f t="shared" si="15"/>
        <v>49.543209876543209</v>
      </c>
      <c r="K64" s="12">
        <v>401304</v>
      </c>
      <c r="L64" s="12">
        <f>H64-316304</f>
        <v>88696</v>
      </c>
      <c r="M64" s="12">
        <v>85000</v>
      </c>
      <c r="N64" s="12">
        <f t="shared" si="16"/>
        <v>121500</v>
      </c>
      <c r="O64" s="14">
        <v>1</v>
      </c>
      <c r="P64" s="12">
        <f t="shared" si="17"/>
        <v>88696</v>
      </c>
      <c r="Q64" s="15">
        <f t="shared" si="18"/>
        <v>2.0361799816345272</v>
      </c>
      <c r="R64" s="15">
        <f t="shared" si="19"/>
        <v>1.9513314967860422</v>
      </c>
      <c r="S64" s="10" t="s">
        <v>97</v>
      </c>
    </row>
    <row r="65" spans="1:19" x14ac:dyDescent="0.25">
      <c r="A65" s="10" t="s">
        <v>130</v>
      </c>
      <c r="B65" s="10" t="s">
        <v>131</v>
      </c>
      <c r="C65" s="10" t="s">
        <v>96</v>
      </c>
      <c r="D65" s="11">
        <v>45415</v>
      </c>
      <c r="E65" s="12">
        <v>405000</v>
      </c>
      <c r="F65" s="10" t="s">
        <v>29</v>
      </c>
      <c r="G65" s="10" t="s">
        <v>23</v>
      </c>
      <c r="H65" s="12">
        <v>405000</v>
      </c>
      <c r="I65" s="12">
        <v>200650</v>
      </c>
      <c r="J65" s="13">
        <f t="shared" si="15"/>
        <v>49.543209876543209</v>
      </c>
      <c r="K65" s="12">
        <v>401304</v>
      </c>
      <c r="L65" s="12">
        <f>H65-316304</f>
        <v>88696</v>
      </c>
      <c r="M65" s="12">
        <v>85000</v>
      </c>
      <c r="N65" s="12">
        <f t="shared" si="16"/>
        <v>121500</v>
      </c>
      <c r="O65" s="14">
        <v>1</v>
      </c>
      <c r="P65" s="12">
        <f t="shared" si="17"/>
        <v>88696</v>
      </c>
      <c r="Q65" s="15">
        <f t="shared" si="18"/>
        <v>2.0361799816345272</v>
      </c>
      <c r="R65" s="15">
        <f t="shared" si="19"/>
        <v>1.9513314967860422</v>
      </c>
      <c r="S65" s="10" t="s">
        <v>97</v>
      </c>
    </row>
    <row r="66" spans="1:19" x14ac:dyDescent="0.25">
      <c r="A66" s="10" t="s">
        <v>132</v>
      </c>
      <c r="B66" s="10" t="s">
        <v>133</v>
      </c>
      <c r="C66" s="10" t="s">
        <v>96</v>
      </c>
      <c r="D66" s="11">
        <v>45261</v>
      </c>
      <c r="E66" s="12">
        <v>395000</v>
      </c>
      <c r="F66" s="10" t="s">
        <v>29</v>
      </c>
      <c r="G66" s="10" t="s">
        <v>23</v>
      </c>
      <c r="H66" s="12">
        <v>395000</v>
      </c>
      <c r="I66" s="12">
        <v>175150</v>
      </c>
      <c r="J66" s="13">
        <f t="shared" si="15"/>
        <v>44.341772151898731</v>
      </c>
      <c r="K66" s="12">
        <v>350304</v>
      </c>
      <c r="L66" s="12">
        <f>H66-265304</f>
        <v>129696</v>
      </c>
      <c r="M66" s="12">
        <v>85000</v>
      </c>
      <c r="N66" s="12">
        <f t="shared" si="16"/>
        <v>118500</v>
      </c>
      <c r="O66" s="14">
        <v>1</v>
      </c>
      <c r="P66" s="12">
        <f t="shared" si="17"/>
        <v>129696</v>
      </c>
      <c r="Q66" s="15">
        <f t="shared" si="18"/>
        <v>2.977410468319559</v>
      </c>
      <c r="R66" s="15">
        <f t="shared" si="19"/>
        <v>1.9513314967860422</v>
      </c>
      <c r="S66" s="10" t="s">
        <v>97</v>
      </c>
    </row>
    <row r="67" spans="1:19" x14ac:dyDescent="0.25">
      <c r="A67" s="10" t="s">
        <v>134</v>
      </c>
      <c r="B67" s="10" t="s">
        <v>135</v>
      </c>
      <c r="C67" s="10" t="s">
        <v>96</v>
      </c>
      <c r="D67" s="11">
        <v>45321</v>
      </c>
      <c r="E67" s="12">
        <v>479000</v>
      </c>
      <c r="F67" s="10" t="s">
        <v>22</v>
      </c>
      <c r="G67" s="10" t="s">
        <v>23</v>
      </c>
      <c r="H67" s="12">
        <v>479000</v>
      </c>
      <c r="I67" s="12">
        <v>207010</v>
      </c>
      <c r="J67" s="13">
        <f t="shared" si="15"/>
        <v>43.217118997912316</v>
      </c>
      <c r="K67" s="12">
        <v>414016</v>
      </c>
      <c r="L67" s="12">
        <f>H67-329016</f>
        <v>149984</v>
      </c>
      <c r="M67" s="12">
        <v>85000</v>
      </c>
      <c r="N67" s="12">
        <f t="shared" si="16"/>
        <v>143700</v>
      </c>
      <c r="O67" s="14">
        <v>1</v>
      </c>
      <c r="P67" s="12">
        <f t="shared" si="17"/>
        <v>149984</v>
      </c>
      <c r="Q67" s="15">
        <f t="shared" si="18"/>
        <v>3.4431588613406796</v>
      </c>
      <c r="R67" s="15">
        <f t="shared" si="19"/>
        <v>1.9513314967860422</v>
      </c>
      <c r="S67" s="10" t="s">
        <v>97</v>
      </c>
    </row>
    <row r="68" spans="1:19" x14ac:dyDescent="0.25">
      <c r="A68" s="10" t="s">
        <v>136</v>
      </c>
      <c r="B68" s="10" t="s">
        <v>137</v>
      </c>
      <c r="C68" s="10" t="s">
        <v>96</v>
      </c>
      <c r="D68" s="11">
        <v>45413</v>
      </c>
      <c r="E68" s="12">
        <v>335000</v>
      </c>
      <c r="F68" s="10" t="s">
        <v>29</v>
      </c>
      <c r="G68" s="10" t="s">
        <v>23</v>
      </c>
      <c r="H68" s="12">
        <v>335000</v>
      </c>
      <c r="I68" s="12">
        <v>199360</v>
      </c>
      <c r="J68" s="13">
        <f t="shared" si="15"/>
        <v>59.51044776119403</v>
      </c>
      <c r="K68" s="12">
        <v>398726</v>
      </c>
      <c r="L68" s="12">
        <f>H68-313726</f>
        <v>21274</v>
      </c>
      <c r="M68" s="12">
        <v>85000</v>
      </c>
      <c r="N68" s="12">
        <f t="shared" si="16"/>
        <v>100500</v>
      </c>
      <c r="O68" s="14">
        <v>1</v>
      </c>
      <c r="P68" s="12">
        <f t="shared" si="17"/>
        <v>21274</v>
      </c>
      <c r="Q68" s="15">
        <f t="shared" si="18"/>
        <v>0.48838383838383836</v>
      </c>
      <c r="R68" s="15">
        <f t="shared" si="19"/>
        <v>1.9513314967860422</v>
      </c>
      <c r="S68" s="10" t="s">
        <v>97</v>
      </c>
    </row>
    <row r="69" spans="1:19" x14ac:dyDescent="0.25">
      <c r="A69" s="10" t="s">
        <v>138</v>
      </c>
      <c r="B69" s="10" t="s">
        <v>139</v>
      </c>
      <c r="C69" s="10" t="s">
        <v>96</v>
      </c>
      <c r="D69" s="11">
        <v>45170</v>
      </c>
      <c r="E69" s="12">
        <v>449900</v>
      </c>
      <c r="F69" s="10" t="s">
        <v>22</v>
      </c>
      <c r="G69" s="10" t="s">
        <v>23</v>
      </c>
      <c r="H69" s="12">
        <v>449900</v>
      </c>
      <c r="I69" s="12">
        <v>191480</v>
      </c>
      <c r="J69" s="13">
        <f t="shared" si="15"/>
        <v>42.560569015336739</v>
      </c>
      <c r="K69" s="12">
        <v>382969</v>
      </c>
      <c r="L69" s="12">
        <f>H69-297969</f>
        <v>151931</v>
      </c>
      <c r="M69" s="12">
        <v>85000</v>
      </c>
      <c r="N69" s="12">
        <f t="shared" si="16"/>
        <v>134970</v>
      </c>
      <c r="O69" s="14">
        <v>1</v>
      </c>
      <c r="P69" s="12">
        <f t="shared" si="17"/>
        <v>151931</v>
      </c>
      <c r="Q69" s="15">
        <f t="shared" si="18"/>
        <v>3.4878558310376491</v>
      </c>
      <c r="R69" s="15">
        <f t="shared" si="19"/>
        <v>1.9513314967860422</v>
      </c>
      <c r="S69" s="10" t="s">
        <v>97</v>
      </c>
    </row>
    <row r="70" spans="1:19" x14ac:dyDescent="0.25">
      <c r="A70" s="10" t="s">
        <v>140</v>
      </c>
      <c r="B70" s="10" t="s">
        <v>141</v>
      </c>
      <c r="C70" s="10" t="s">
        <v>96</v>
      </c>
      <c r="D70" s="11">
        <v>45348</v>
      </c>
      <c r="E70" s="12">
        <v>450000</v>
      </c>
      <c r="F70" s="10" t="s">
        <v>22</v>
      </c>
      <c r="G70" s="10" t="s">
        <v>23</v>
      </c>
      <c r="H70" s="12">
        <v>450000</v>
      </c>
      <c r="I70" s="12">
        <v>193620</v>
      </c>
      <c r="J70" s="13">
        <f t="shared" si="15"/>
        <v>43.026666666666671</v>
      </c>
      <c r="K70" s="12">
        <v>387246</v>
      </c>
      <c r="L70" s="12">
        <f>H70-302246</f>
        <v>147754</v>
      </c>
      <c r="M70" s="12">
        <v>85000</v>
      </c>
      <c r="N70" s="12">
        <f t="shared" si="16"/>
        <v>135000</v>
      </c>
      <c r="O70" s="14">
        <v>1</v>
      </c>
      <c r="P70" s="12">
        <f t="shared" si="17"/>
        <v>147754</v>
      </c>
      <c r="Q70" s="15">
        <f t="shared" si="18"/>
        <v>3.3919651056014692</v>
      </c>
      <c r="R70" s="15">
        <f t="shared" si="19"/>
        <v>1.9513314967860422</v>
      </c>
      <c r="S70" s="10" t="s">
        <v>97</v>
      </c>
    </row>
    <row r="71" spans="1:19" x14ac:dyDescent="0.25">
      <c r="A71" s="10" t="s">
        <v>142</v>
      </c>
      <c r="B71" s="10" t="s">
        <v>143</v>
      </c>
      <c r="C71" s="10" t="s">
        <v>96</v>
      </c>
      <c r="D71" s="11">
        <v>45587</v>
      </c>
      <c r="E71" s="12">
        <v>320000</v>
      </c>
      <c r="F71" s="10" t="s">
        <v>22</v>
      </c>
      <c r="G71" s="10" t="s">
        <v>23</v>
      </c>
      <c r="H71" s="12">
        <v>320000</v>
      </c>
      <c r="I71" s="12">
        <v>194780</v>
      </c>
      <c r="J71" s="13">
        <f t="shared" si="15"/>
        <v>60.868750000000006</v>
      </c>
      <c r="K71" s="12">
        <v>389551</v>
      </c>
      <c r="L71" s="12">
        <f>H71-304551</f>
        <v>15449</v>
      </c>
      <c r="M71" s="12">
        <v>85000</v>
      </c>
      <c r="N71" s="12">
        <f t="shared" si="16"/>
        <v>96000</v>
      </c>
      <c r="O71" s="14">
        <v>1</v>
      </c>
      <c r="P71" s="12">
        <f t="shared" si="17"/>
        <v>15449</v>
      </c>
      <c r="Q71" s="15">
        <f t="shared" si="18"/>
        <v>0.35466023875114783</v>
      </c>
      <c r="R71" s="15">
        <f t="shared" si="19"/>
        <v>1.9513314967860422</v>
      </c>
      <c r="S71" s="10" t="s">
        <v>97</v>
      </c>
    </row>
    <row r="72" spans="1:19" x14ac:dyDescent="0.25">
      <c r="A72" s="10" t="s">
        <v>144</v>
      </c>
      <c r="B72" s="10" t="s">
        <v>145</v>
      </c>
      <c r="C72" s="10" t="s">
        <v>96</v>
      </c>
      <c r="D72" s="11">
        <v>45504</v>
      </c>
      <c r="E72" s="12">
        <v>550000</v>
      </c>
      <c r="F72" s="10" t="s">
        <v>22</v>
      </c>
      <c r="G72" s="10" t="s">
        <v>23</v>
      </c>
      <c r="H72" s="12">
        <v>550000</v>
      </c>
      <c r="I72" s="12">
        <v>218720</v>
      </c>
      <c r="J72" s="13">
        <f t="shared" si="15"/>
        <v>39.767272727272726</v>
      </c>
      <c r="K72" s="12">
        <v>437447</v>
      </c>
      <c r="L72" s="12">
        <f>H72-352447</f>
        <v>197553</v>
      </c>
      <c r="M72" s="12">
        <v>85000</v>
      </c>
      <c r="N72" s="12">
        <f t="shared" si="16"/>
        <v>165000</v>
      </c>
      <c r="O72" s="14">
        <v>1</v>
      </c>
      <c r="P72" s="12">
        <f t="shared" si="17"/>
        <v>197553</v>
      </c>
      <c r="Q72" s="15">
        <f t="shared" si="18"/>
        <v>4.5351928374655648</v>
      </c>
      <c r="R72" s="15">
        <f t="shared" si="19"/>
        <v>1.9513314967860422</v>
      </c>
      <c r="S72" s="10" t="s">
        <v>97</v>
      </c>
    </row>
    <row r="73" spans="1:19" x14ac:dyDescent="0.25">
      <c r="A73" s="10" t="s">
        <v>146</v>
      </c>
      <c r="B73" s="10" t="s">
        <v>147</v>
      </c>
      <c r="C73" s="10" t="s">
        <v>96</v>
      </c>
      <c r="D73" s="11">
        <v>45663</v>
      </c>
      <c r="E73" s="12">
        <v>551000</v>
      </c>
      <c r="F73" s="10" t="s">
        <v>29</v>
      </c>
      <c r="G73" s="10" t="s">
        <v>23</v>
      </c>
      <c r="H73" s="12">
        <v>551000</v>
      </c>
      <c r="I73" s="12">
        <v>200630</v>
      </c>
      <c r="J73" s="13">
        <f t="shared" si="15"/>
        <v>36.411978221415609</v>
      </c>
      <c r="K73" s="12">
        <v>401258</v>
      </c>
      <c r="L73" s="12">
        <f>H73-316258</f>
        <v>234742</v>
      </c>
      <c r="M73" s="12">
        <v>85000</v>
      </c>
      <c r="N73" s="12">
        <f t="shared" si="16"/>
        <v>165300</v>
      </c>
      <c r="O73" s="14">
        <v>1</v>
      </c>
      <c r="P73" s="12">
        <f t="shared" si="17"/>
        <v>234742</v>
      </c>
      <c r="Q73" s="15">
        <f t="shared" si="18"/>
        <v>5.3889348025711659</v>
      </c>
      <c r="R73" s="15">
        <f t="shared" si="19"/>
        <v>1.9513314967860422</v>
      </c>
      <c r="S73" s="10" t="s">
        <v>97</v>
      </c>
    </row>
    <row r="74" spans="1:19" x14ac:dyDescent="0.25">
      <c r="A74" s="10" t="s">
        <v>148</v>
      </c>
      <c r="B74" s="10" t="s">
        <v>149</v>
      </c>
      <c r="C74" s="10" t="s">
        <v>96</v>
      </c>
      <c r="D74" s="11">
        <v>45097</v>
      </c>
      <c r="E74" s="12">
        <v>510000</v>
      </c>
      <c r="F74" s="10" t="s">
        <v>22</v>
      </c>
      <c r="G74" s="10" t="s">
        <v>23</v>
      </c>
      <c r="H74" s="12">
        <v>510000</v>
      </c>
      <c r="I74" s="12">
        <v>216200</v>
      </c>
      <c r="J74" s="13">
        <f t="shared" si="15"/>
        <v>42.392156862745104</v>
      </c>
      <c r="K74" s="12">
        <v>432408</v>
      </c>
      <c r="L74" s="12">
        <f>H74-347408</f>
        <v>162592</v>
      </c>
      <c r="M74" s="12">
        <v>85000</v>
      </c>
      <c r="N74" s="12">
        <f t="shared" si="16"/>
        <v>153000</v>
      </c>
      <c r="O74" s="14">
        <v>1</v>
      </c>
      <c r="P74" s="12">
        <f t="shared" si="17"/>
        <v>162592</v>
      </c>
      <c r="Q74" s="15">
        <f t="shared" si="18"/>
        <v>3.7325987144168962</v>
      </c>
      <c r="R74" s="15">
        <f t="shared" si="19"/>
        <v>1.9513314967860422</v>
      </c>
      <c r="S74" s="10" t="s">
        <v>97</v>
      </c>
    </row>
    <row r="75" spans="1:19" x14ac:dyDescent="0.25">
      <c r="A75" s="10" t="s">
        <v>150</v>
      </c>
      <c r="B75" s="10" t="s">
        <v>151</v>
      </c>
      <c r="C75" s="10" t="s">
        <v>96</v>
      </c>
      <c r="D75" s="11">
        <v>45509</v>
      </c>
      <c r="E75" s="12">
        <v>455000</v>
      </c>
      <c r="F75" s="10" t="s">
        <v>22</v>
      </c>
      <c r="G75" s="10" t="s">
        <v>23</v>
      </c>
      <c r="H75" s="12">
        <v>455000</v>
      </c>
      <c r="I75" s="12">
        <v>193010</v>
      </c>
      <c r="J75" s="13">
        <f t="shared" si="15"/>
        <v>42.419780219780215</v>
      </c>
      <c r="K75" s="12">
        <v>386012</v>
      </c>
      <c r="L75" s="12">
        <f>H75-301012</f>
        <v>153988</v>
      </c>
      <c r="M75" s="12">
        <v>85000</v>
      </c>
      <c r="N75" s="12">
        <f t="shared" si="16"/>
        <v>136500</v>
      </c>
      <c r="O75" s="14">
        <v>1</v>
      </c>
      <c r="P75" s="12">
        <f t="shared" si="17"/>
        <v>153988</v>
      </c>
      <c r="Q75" s="15">
        <f t="shared" si="18"/>
        <v>3.5350780532598716</v>
      </c>
      <c r="R75" s="15">
        <f t="shared" si="19"/>
        <v>1.9513314967860422</v>
      </c>
      <c r="S75" s="10" t="s">
        <v>97</v>
      </c>
    </row>
    <row r="76" spans="1:19" x14ac:dyDescent="0.25">
      <c r="A76" s="10" t="s">
        <v>152</v>
      </c>
      <c r="B76" s="10" t="s">
        <v>153</v>
      </c>
      <c r="C76" s="10" t="s">
        <v>96</v>
      </c>
      <c r="D76" s="11">
        <v>45463</v>
      </c>
      <c r="E76" s="12">
        <v>305000</v>
      </c>
      <c r="F76" s="10" t="s">
        <v>22</v>
      </c>
      <c r="G76" s="10" t="s">
        <v>23</v>
      </c>
      <c r="H76" s="12">
        <v>305000</v>
      </c>
      <c r="I76" s="12">
        <v>172490</v>
      </c>
      <c r="J76" s="13">
        <f t="shared" si="15"/>
        <v>56.554098360655736</v>
      </c>
      <c r="K76" s="12">
        <v>344973</v>
      </c>
      <c r="L76" s="12">
        <f>H76-259973</f>
        <v>45027</v>
      </c>
      <c r="M76" s="12">
        <v>85000</v>
      </c>
      <c r="N76" s="12">
        <f t="shared" si="16"/>
        <v>91500</v>
      </c>
      <c r="O76" s="14">
        <v>1</v>
      </c>
      <c r="P76" s="12">
        <f t="shared" si="17"/>
        <v>45027</v>
      </c>
      <c r="Q76" s="15">
        <f t="shared" si="18"/>
        <v>1.0336776859504133</v>
      </c>
      <c r="R76" s="15">
        <f t="shared" si="19"/>
        <v>1.9513314967860422</v>
      </c>
      <c r="S76" s="10" t="s">
        <v>97</v>
      </c>
    </row>
    <row r="77" spans="1:19" x14ac:dyDescent="0.25">
      <c r="A77" s="10" t="s">
        <v>154</v>
      </c>
      <c r="B77" s="10" t="s">
        <v>155</v>
      </c>
      <c r="C77" s="10" t="s">
        <v>96</v>
      </c>
      <c r="D77" s="11">
        <v>45105</v>
      </c>
      <c r="E77" s="12">
        <v>399000</v>
      </c>
      <c r="F77" s="10" t="s">
        <v>29</v>
      </c>
      <c r="G77" s="10" t="s">
        <v>23</v>
      </c>
      <c r="H77" s="12">
        <v>399000</v>
      </c>
      <c r="I77" s="12">
        <v>196590</v>
      </c>
      <c r="J77" s="13">
        <f t="shared" si="15"/>
        <v>49.270676691729328</v>
      </c>
      <c r="K77" s="12">
        <v>393181</v>
      </c>
      <c r="L77" s="12">
        <f>H77-308181</f>
        <v>90819</v>
      </c>
      <c r="M77" s="12">
        <v>85000</v>
      </c>
      <c r="N77" s="12">
        <f t="shared" si="16"/>
        <v>119700</v>
      </c>
      <c r="O77" s="14">
        <v>1</v>
      </c>
      <c r="P77" s="12">
        <f t="shared" si="17"/>
        <v>90819</v>
      </c>
      <c r="Q77" s="15">
        <f t="shared" si="18"/>
        <v>2.0849173553719007</v>
      </c>
      <c r="R77" s="15">
        <f t="shared" si="19"/>
        <v>1.9513314967860422</v>
      </c>
      <c r="S77" s="10" t="s">
        <v>97</v>
      </c>
    </row>
    <row r="78" spans="1:19" x14ac:dyDescent="0.25">
      <c r="A78" s="10" t="s">
        <v>156</v>
      </c>
      <c r="B78" s="10" t="s">
        <v>157</v>
      </c>
      <c r="C78" s="10" t="s">
        <v>96</v>
      </c>
      <c r="D78" s="11">
        <v>45232</v>
      </c>
      <c r="E78" s="12">
        <v>315000</v>
      </c>
      <c r="F78" s="10" t="s">
        <v>22</v>
      </c>
      <c r="G78" s="10" t="s">
        <v>23</v>
      </c>
      <c r="H78" s="12">
        <v>315000</v>
      </c>
      <c r="I78" s="12">
        <v>159890</v>
      </c>
      <c r="J78" s="13">
        <f t="shared" si="15"/>
        <v>50.75873015873016</v>
      </c>
      <c r="K78" s="12">
        <v>319777</v>
      </c>
      <c r="L78" s="12">
        <f>H78-234777</f>
        <v>80223</v>
      </c>
      <c r="M78" s="12">
        <v>85000</v>
      </c>
      <c r="N78" s="12">
        <f t="shared" si="16"/>
        <v>94500</v>
      </c>
      <c r="O78" s="14">
        <v>1</v>
      </c>
      <c r="P78" s="12">
        <f t="shared" si="17"/>
        <v>80223</v>
      </c>
      <c r="Q78" s="15">
        <f t="shared" si="18"/>
        <v>1.8416666666666666</v>
      </c>
      <c r="R78" s="15">
        <f t="shared" si="19"/>
        <v>1.9513314967860422</v>
      </c>
      <c r="S78" s="10" t="s">
        <v>97</v>
      </c>
    </row>
    <row r="79" spans="1:19" x14ac:dyDescent="0.25">
      <c r="A79" s="10" t="s">
        <v>158</v>
      </c>
      <c r="B79" s="10" t="s">
        <v>159</v>
      </c>
      <c r="C79" s="10" t="s">
        <v>96</v>
      </c>
      <c r="D79" s="11">
        <v>45715</v>
      </c>
      <c r="E79" s="12">
        <v>420000</v>
      </c>
      <c r="F79" s="10" t="s">
        <v>29</v>
      </c>
      <c r="G79" s="10" t="s">
        <v>23</v>
      </c>
      <c r="H79" s="12">
        <v>420000</v>
      </c>
      <c r="I79" s="12">
        <v>193790</v>
      </c>
      <c r="J79" s="13">
        <f t="shared" si="15"/>
        <v>46.140476190476193</v>
      </c>
      <c r="K79" s="12">
        <v>387571</v>
      </c>
      <c r="L79" s="12">
        <f>H79-302571</f>
        <v>117429</v>
      </c>
      <c r="M79" s="12">
        <v>85000</v>
      </c>
      <c r="N79" s="12">
        <f t="shared" si="16"/>
        <v>126000</v>
      </c>
      <c r="O79" s="14">
        <v>1</v>
      </c>
      <c r="P79" s="12">
        <f t="shared" si="17"/>
        <v>117429</v>
      </c>
      <c r="Q79" s="15">
        <f t="shared" si="18"/>
        <v>2.6957988980716254</v>
      </c>
      <c r="R79" s="15">
        <f t="shared" si="19"/>
        <v>1.9513314967860422</v>
      </c>
      <c r="S79" s="10" t="s">
        <v>97</v>
      </c>
    </row>
    <row r="80" spans="1:19" x14ac:dyDescent="0.25">
      <c r="A80" s="10" t="s">
        <v>160</v>
      </c>
      <c r="B80" s="10" t="s">
        <v>161</v>
      </c>
      <c r="C80" s="10" t="s">
        <v>96</v>
      </c>
      <c r="D80" s="11">
        <v>45467</v>
      </c>
      <c r="E80" s="12">
        <v>355000</v>
      </c>
      <c r="F80" s="10" t="s">
        <v>29</v>
      </c>
      <c r="G80" s="10" t="s">
        <v>23</v>
      </c>
      <c r="H80" s="12">
        <v>355000</v>
      </c>
      <c r="I80" s="12">
        <v>158090</v>
      </c>
      <c r="J80" s="13">
        <f t="shared" si="15"/>
        <v>44.532394366197181</v>
      </c>
      <c r="K80" s="12">
        <v>316172</v>
      </c>
      <c r="L80" s="12">
        <f>H80-221172</f>
        <v>133828</v>
      </c>
      <c r="M80" s="12">
        <v>95000</v>
      </c>
      <c r="N80" s="12">
        <f t="shared" si="16"/>
        <v>106500</v>
      </c>
      <c r="O80" s="14">
        <v>1</v>
      </c>
      <c r="P80" s="12">
        <f t="shared" si="17"/>
        <v>133828</v>
      </c>
      <c r="Q80" s="15">
        <f t="shared" si="18"/>
        <v>3.0722681359044994</v>
      </c>
      <c r="R80" s="15">
        <f t="shared" si="19"/>
        <v>2.1808999081726355</v>
      </c>
      <c r="S80" s="10" t="s">
        <v>97</v>
      </c>
    </row>
    <row r="81" spans="1:19" x14ac:dyDescent="0.25">
      <c r="A81" s="10" t="s">
        <v>162</v>
      </c>
      <c r="B81" s="10" t="s">
        <v>163</v>
      </c>
      <c r="C81" s="10" t="s">
        <v>96</v>
      </c>
      <c r="D81" s="11">
        <v>45050</v>
      </c>
      <c r="E81" s="12">
        <v>364900</v>
      </c>
      <c r="F81" s="10" t="s">
        <v>29</v>
      </c>
      <c r="G81" s="10" t="s">
        <v>23</v>
      </c>
      <c r="H81" s="12">
        <v>364900</v>
      </c>
      <c r="I81" s="12">
        <v>196260</v>
      </c>
      <c r="J81" s="13">
        <f t="shared" si="15"/>
        <v>53.784598520142502</v>
      </c>
      <c r="K81" s="12">
        <v>392517</v>
      </c>
      <c r="L81" s="12">
        <f>H81-307517</f>
        <v>57383</v>
      </c>
      <c r="M81" s="12">
        <v>85000</v>
      </c>
      <c r="N81" s="12">
        <f t="shared" si="16"/>
        <v>109470</v>
      </c>
      <c r="O81" s="14">
        <v>1</v>
      </c>
      <c r="P81" s="12">
        <f t="shared" si="17"/>
        <v>57383</v>
      </c>
      <c r="Q81" s="15">
        <f t="shared" si="18"/>
        <v>1.3173324150596877</v>
      </c>
      <c r="R81" s="15">
        <f t="shared" si="19"/>
        <v>1.9513314967860422</v>
      </c>
      <c r="S81" s="10" t="s">
        <v>97</v>
      </c>
    </row>
    <row r="82" spans="1:19" x14ac:dyDescent="0.25">
      <c r="A82" s="10" t="s">
        <v>164</v>
      </c>
      <c r="B82" s="10" t="s">
        <v>165</v>
      </c>
      <c r="C82" s="10" t="s">
        <v>96</v>
      </c>
      <c r="D82" s="11">
        <v>45047</v>
      </c>
      <c r="E82" s="12">
        <v>383500</v>
      </c>
      <c r="F82" s="10" t="s">
        <v>22</v>
      </c>
      <c r="G82" s="10" t="s">
        <v>23</v>
      </c>
      <c r="H82" s="12">
        <v>383500</v>
      </c>
      <c r="I82" s="12">
        <v>182070</v>
      </c>
      <c r="J82" s="13">
        <f t="shared" si="15"/>
        <v>47.47588005215124</v>
      </c>
      <c r="K82" s="12">
        <v>364130</v>
      </c>
      <c r="L82" s="12">
        <f>H82-279130</f>
        <v>104370</v>
      </c>
      <c r="M82" s="12">
        <v>85000</v>
      </c>
      <c r="N82" s="12">
        <f t="shared" si="16"/>
        <v>115050</v>
      </c>
      <c r="O82" s="14">
        <v>1</v>
      </c>
      <c r="P82" s="12">
        <f t="shared" si="17"/>
        <v>104370</v>
      </c>
      <c r="Q82" s="15">
        <f t="shared" si="18"/>
        <v>2.3960055096418733</v>
      </c>
      <c r="R82" s="15">
        <f t="shared" si="19"/>
        <v>1.9513314967860422</v>
      </c>
      <c r="S82" s="10" t="s">
        <v>97</v>
      </c>
    </row>
    <row r="83" spans="1:19" x14ac:dyDescent="0.25">
      <c r="A83" s="10" t="s">
        <v>166</v>
      </c>
      <c r="B83" s="10" t="s">
        <v>167</v>
      </c>
      <c r="C83" s="10" t="s">
        <v>96</v>
      </c>
      <c r="D83" s="11">
        <v>45572</v>
      </c>
      <c r="E83" s="12">
        <v>301000</v>
      </c>
      <c r="F83" s="10" t="s">
        <v>22</v>
      </c>
      <c r="G83" s="10" t="s">
        <v>23</v>
      </c>
      <c r="H83" s="12">
        <v>301000</v>
      </c>
      <c r="I83" s="12">
        <v>152490</v>
      </c>
      <c r="J83" s="13">
        <f t="shared" si="15"/>
        <v>50.661129568106311</v>
      </c>
      <c r="K83" s="12">
        <v>304974</v>
      </c>
      <c r="L83" s="12">
        <f>H83-219974</f>
        <v>81026</v>
      </c>
      <c r="M83" s="12">
        <v>85000</v>
      </c>
      <c r="N83" s="12">
        <f t="shared" si="16"/>
        <v>90300</v>
      </c>
      <c r="O83" s="14">
        <v>1</v>
      </c>
      <c r="P83" s="12">
        <f t="shared" si="17"/>
        <v>81026</v>
      </c>
      <c r="Q83" s="15">
        <f t="shared" si="18"/>
        <v>1.86010101010101</v>
      </c>
      <c r="R83" s="15">
        <f t="shared" si="19"/>
        <v>1.9513314967860422</v>
      </c>
      <c r="S83" s="10" t="s">
        <v>97</v>
      </c>
    </row>
    <row r="84" spans="1:19" x14ac:dyDescent="0.25">
      <c r="A84" s="10" t="s">
        <v>168</v>
      </c>
      <c r="B84" s="10" t="s">
        <v>169</v>
      </c>
      <c r="C84" s="10" t="s">
        <v>96</v>
      </c>
      <c r="D84" s="11">
        <v>45119</v>
      </c>
      <c r="E84" s="12">
        <v>395000</v>
      </c>
      <c r="F84" s="10" t="s">
        <v>22</v>
      </c>
      <c r="G84" s="10" t="s">
        <v>23</v>
      </c>
      <c r="H84" s="12">
        <v>395000</v>
      </c>
      <c r="I84" s="12">
        <v>176860</v>
      </c>
      <c r="J84" s="13">
        <f t="shared" si="15"/>
        <v>44.774683544303798</v>
      </c>
      <c r="K84" s="12">
        <v>353710</v>
      </c>
      <c r="L84" s="12">
        <f>H84-268710</f>
        <v>126290</v>
      </c>
      <c r="M84" s="12">
        <v>85000</v>
      </c>
      <c r="N84" s="12">
        <f t="shared" si="16"/>
        <v>118500</v>
      </c>
      <c r="O84" s="14">
        <v>1</v>
      </c>
      <c r="P84" s="12">
        <f t="shared" si="17"/>
        <v>126290</v>
      </c>
      <c r="Q84" s="15">
        <f t="shared" si="18"/>
        <v>2.8992194674012857</v>
      </c>
      <c r="R84" s="15">
        <f t="shared" si="19"/>
        <v>1.9513314967860422</v>
      </c>
      <c r="S84" s="10" t="s">
        <v>97</v>
      </c>
    </row>
    <row r="85" spans="1:19" x14ac:dyDescent="0.25">
      <c r="A85" s="10" t="s">
        <v>170</v>
      </c>
      <c r="B85" s="10" t="s">
        <v>171</v>
      </c>
      <c r="C85" s="10" t="s">
        <v>96</v>
      </c>
      <c r="D85" s="11">
        <v>45551</v>
      </c>
      <c r="E85" s="12">
        <v>415000</v>
      </c>
      <c r="F85" s="10" t="s">
        <v>22</v>
      </c>
      <c r="G85" s="10" t="s">
        <v>23</v>
      </c>
      <c r="H85" s="12">
        <v>415000</v>
      </c>
      <c r="I85" s="12">
        <v>162770</v>
      </c>
      <c r="J85" s="13">
        <f t="shared" si="15"/>
        <v>39.221686746987949</v>
      </c>
      <c r="K85" s="12">
        <v>325543</v>
      </c>
      <c r="L85" s="12">
        <f>H85-240543</f>
        <v>174457</v>
      </c>
      <c r="M85" s="12">
        <v>85000</v>
      </c>
      <c r="N85" s="12">
        <f t="shared" si="16"/>
        <v>124500</v>
      </c>
      <c r="O85" s="14">
        <v>1</v>
      </c>
      <c r="P85" s="12">
        <f t="shared" si="17"/>
        <v>174457</v>
      </c>
      <c r="Q85" s="15">
        <f t="shared" si="18"/>
        <v>4.0049816345270894</v>
      </c>
      <c r="R85" s="15">
        <f t="shared" si="19"/>
        <v>1.9513314967860422</v>
      </c>
      <c r="S85" s="10" t="s">
        <v>97</v>
      </c>
    </row>
    <row r="86" spans="1:19" x14ac:dyDescent="0.25">
      <c r="A86" s="10" t="s">
        <v>172</v>
      </c>
      <c r="B86" s="10" t="s">
        <v>173</v>
      </c>
      <c r="C86" s="10" t="s">
        <v>96</v>
      </c>
      <c r="D86" s="11">
        <v>45558</v>
      </c>
      <c r="E86" s="12">
        <v>340000</v>
      </c>
      <c r="F86" s="10" t="s">
        <v>22</v>
      </c>
      <c r="G86" s="10" t="s">
        <v>23</v>
      </c>
      <c r="H86" s="12">
        <v>340000</v>
      </c>
      <c r="I86" s="12">
        <v>201030</v>
      </c>
      <c r="J86" s="13">
        <f t="shared" si="15"/>
        <v>59.126470588235293</v>
      </c>
      <c r="K86" s="12">
        <v>402055</v>
      </c>
      <c r="L86" s="12">
        <f>H86-307055</f>
        <v>32945</v>
      </c>
      <c r="M86" s="12">
        <v>95000</v>
      </c>
      <c r="N86" s="12">
        <f t="shared" si="16"/>
        <v>102000</v>
      </c>
      <c r="O86" s="14">
        <v>1</v>
      </c>
      <c r="P86" s="12">
        <f t="shared" si="17"/>
        <v>32945</v>
      </c>
      <c r="Q86" s="15">
        <f t="shared" si="18"/>
        <v>0.75631313131313127</v>
      </c>
      <c r="R86" s="15">
        <f t="shared" si="19"/>
        <v>2.1808999081726355</v>
      </c>
      <c r="S86" s="10" t="s">
        <v>97</v>
      </c>
    </row>
    <row r="87" spans="1:19" x14ac:dyDescent="0.25">
      <c r="A87" s="10" t="s">
        <v>174</v>
      </c>
      <c r="B87" s="10" t="s">
        <v>175</v>
      </c>
      <c r="C87" s="10" t="s">
        <v>96</v>
      </c>
      <c r="D87" s="11">
        <v>45259</v>
      </c>
      <c r="E87" s="12">
        <v>465000</v>
      </c>
      <c r="F87" s="10" t="s">
        <v>29</v>
      </c>
      <c r="G87" s="10" t="s">
        <v>23</v>
      </c>
      <c r="H87" s="12">
        <v>465000</v>
      </c>
      <c r="I87" s="12">
        <v>238730</v>
      </c>
      <c r="J87" s="13">
        <f t="shared" si="15"/>
        <v>51.339784946236556</v>
      </c>
      <c r="K87" s="12">
        <v>477455</v>
      </c>
      <c r="L87" s="12">
        <f>H87-382455</f>
        <v>82545</v>
      </c>
      <c r="M87" s="12">
        <v>95000</v>
      </c>
      <c r="N87" s="12">
        <f t="shared" si="16"/>
        <v>139500</v>
      </c>
      <c r="O87" s="14">
        <v>1</v>
      </c>
      <c r="P87" s="12">
        <f t="shared" si="17"/>
        <v>82545</v>
      </c>
      <c r="Q87" s="15">
        <f t="shared" si="18"/>
        <v>1.8949724517906337</v>
      </c>
      <c r="R87" s="15">
        <f t="shared" si="19"/>
        <v>2.1808999081726355</v>
      </c>
      <c r="S87" s="10" t="s">
        <v>97</v>
      </c>
    </row>
    <row r="88" spans="1:19" x14ac:dyDescent="0.25">
      <c r="A88" s="10" t="s">
        <v>176</v>
      </c>
      <c r="B88" s="10" t="s">
        <v>177</v>
      </c>
      <c r="C88" s="10" t="s">
        <v>96</v>
      </c>
      <c r="D88" s="11">
        <v>45565</v>
      </c>
      <c r="E88" s="12">
        <v>420000</v>
      </c>
      <c r="F88" s="10" t="s">
        <v>22</v>
      </c>
      <c r="G88" s="10" t="s">
        <v>23</v>
      </c>
      <c r="H88" s="12">
        <v>420000</v>
      </c>
      <c r="I88" s="12">
        <v>169940</v>
      </c>
      <c r="J88" s="13">
        <f t="shared" si="15"/>
        <v>40.461904761904762</v>
      </c>
      <c r="K88" s="12">
        <v>339872</v>
      </c>
      <c r="L88" s="12">
        <f>H88-244872</f>
        <v>175128</v>
      </c>
      <c r="M88" s="12">
        <v>95000</v>
      </c>
      <c r="N88" s="12">
        <f t="shared" si="16"/>
        <v>126000</v>
      </c>
      <c r="O88" s="14">
        <v>1</v>
      </c>
      <c r="P88" s="12">
        <f t="shared" si="17"/>
        <v>175128</v>
      </c>
      <c r="Q88" s="15">
        <f t="shared" si="18"/>
        <v>4.0203856749311297</v>
      </c>
      <c r="R88" s="15">
        <f t="shared" si="19"/>
        <v>2.1808999081726355</v>
      </c>
      <c r="S88" s="10" t="s">
        <v>97</v>
      </c>
    </row>
    <row r="89" spans="1:19" x14ac:dyDescent="0.25">
      <c r="A89" s="10" t="s">
        <v>178</v>
      </c>
      <c r="B89" s="10" t="s">
        <v>179</v>
      </c>
      <c r="C89" s="10" t="s">
        <v>96</v>
      </c>
      <c r="D89" s="11">
        <v>45490</v>
      </c>
      <c r="E89" s="12">
        <v>522000</v>
      </c>
      <c r="F89" s="10" t="s">
        <v>29</v>
      </c>
      <c r="G89" s="10" t="s">
        <v>23</v>
      </c>
      <c r="H89" s="12">
        <v>522000</v>
      </c>
      <c r="I89" s="12">
        <v>218550</v>
      </c>
      <c r="J89" s="13">
        <f t="shared" si="15"/>
        <v>41.867816091954026</v>
      </c>
      <c r="K89" s="12">
        <v>437092</v>
      </c>
      <c r="L89" s="12">
        <f>H89-342092</f>
        <v>179908</v>
      </c>
      <c r="M89" s="12">
        <v>95000</v>
      </c>
      <c r="N89" s="12">
        <f t="shared" si="16"/>
        <v>156600</v>
      </c>
      <c r="O89" s="14">
        <v>1</v>
      </c>
      <c r="P89" s="12">
        <f t="shared" si="17"/>
        <v>179908</v>
      </c>
      <c r="Q89" s="15">
        <f t="shared" si="18"/>
        <v>4.1301193755739209</v>
      </c>
      <c r="R89" s="15">
        <f t="shared" si="19"/>
        <v>2.1808999081726355</v>
      </c>
      <c r="S89" s="10" t="s">
        <v>97</v>
      </c>
    </row>
    <row r="90" spans="1:19" ht="15.75" thickBot="1" x14ac:dyDescent="0.3">
      <c r="A90" s="16"/>
      <c r="B90" s="16"/>
      <c r="C90" s="16"/>
      <c r="D90" s="17"/>
      <c r="E90" s="18"/>
      <c r="F90" s="16"/>
      <c r="G90" s="16"/>
      <c r="H90" s="18"/>
      <c r="I90" s="18"/>
      <c r="J90" s="19"/>
      <c r="K90" s="18"/>
      <c r="L90" s="18">
        <f>AVERAGE(L46:L89)</f>
        <v>113338.54545454546</v>
      </c>
      <c r="M90" s="18">
        <f>AVERAGE(M46:M89)</f>
        <v>88409.090909090912</v>
      </c>
      <c r="N90" s="18">
        <f>AVERAGE(N46:N89)</f>
        <v>124365.68181818182</v>
      </c>
      <c r="O90" s="20"/>
      <c r="P90" s="18"/>
      <c r="Q90" s="21">
        <f>AVERAGE(Q46:Q89)</f>
        <v>2.6018949828867179</v>
      </c>
      <c r="R90" s="21">
        <f>AVERAGE(R46:R89)</f>
        <v>2.0295934552132882</v>
      </c>
      <c r="S90" s="16"/>
    </row>
    <row r="91" spans="1:19" ht="15.75" thickTop="1" x14ac:dyDescent="0.25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82866-2223-4B13-92C7-833312A96ACB}">
  <dimension ref="A1:S83"/>
  <sheetViews>
    <sheetView workbookViewId="0">
      <selection sqref="A1:S1"/>
    </sheetView>
  </sheetViews>
  <sheetFormatPr defaultRowHeight="15" x14ac:dyDescent="0.25"/>
  <cols>
    <col min="1" max="1" width="12.42578125" bestFit="1" customWidth="1"/>
    <col min="2" max="2" width="23.140625" bestFit="1" customWidth="1"/>
    <col min="3" max="3" width="12.5703125" bestFit="1" customWidth="1"/>
    <col min="7" max="7" width="13.140625" bestFit="1" customWidth="1"/>
    <col min="13" max="13" width="10.8554687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180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955</v>
      </c>
      <c r="B2" s="10" t="s">
        <v>956</v>
      </c>
      <c r="C2" s="10" t="s">
        <v>957</v>
      </c>
      <c r="D2" s="11">
        <v>45461</v>
      </c>
      <c r="E2" s="12">
        <v>470000</v>
      </c>
      <c r="F2" s="10" t="s">
        <v>22</v>
      </c>
      <c r="G2" s="10" t="s">
        <v>23</v>
      </c>
      <c r="H2" s="12">
        <v>470000</v>
      </c>
      <c r="I2" s="12">
        <v>173400</v>
      </c>
      <c r="J2" s="13">
        <f>I2/H2*100</f>
        <v>36.893617021276597</v>
      </c>
      <c r="K2" s="12">
        <v>346803</v>
      </c>
      <c r="L2" s="12">
        <f>H2-256413</f>
        <v>213587</v>
      </c>
      <c r="M2" s="12">
        <v>90390</v>
      </c>
      <c r="N2" s="12">
        <f>E2*0.2</f>
        <v>94000</v>
      </c>
      <c r="O2" s="14">
        <v>0.46500000000000002</v>
      </c>
      <c r="P2" s="12">
        <f>L2/O2</f>
        <v>459326.8817204301</v>
      </c>
      <c r="Q2" s="15">
        <f>L2/O2/43560</f>
        <v>10.544694254371674</v>
      </c>
      <c r="R2" s="15">
        <f>M2/O2/43560</f>
        <v>4.4625137000503567</v>
      </c>
      <c r="S2" s="10" t="s">
        <v>24</v>
      </c>
    </row>
    <row r="3" spans="1:19" x14ac:dyDescent="0.25">
      <c r="A3" s="10" t="s">
        <v>958</v>
      </c>
      <c r="B3" s="10" t="s">
        <v>959</v>
      </c>
      <c r="C3" s="10" t="s">
        <v>957</v>
      </c>
      <c r="D3" s="11">
        <v>45722</v>
      </c>
      <c r="E3" s="12">
        <v>1115000</v>
      </c>
      <c r="F3" s="10" t="s">
        <v>22</v>
      </c>
      <c r="G3" s="10" t="s">
        <v>23</v>
      </c>
      <c r="H3" s="12">
        <v>1115000</v>
      </c>
      <c r="I3" s="12">
        <v>376530</v>
      </c>
      <c r="J3" s="13">
        <f>I3/H3*100</f>
        <v>33.769506726457401</v>
      </c>
      <c r="K3" s="12">
        <v>753069</v>
      </c>
      <c r="L3" s="12">
        <f>H3-597837</f>
        <v>517163</v>
      </c>
      <c r="M3" s="12">
        <v>155232</v>
      </c>
      <c r="N3" s="12">
        <f>E3*0.2</f>
        <v>223000</v>
      </c>
      <c r="O3" s="14">
        <v>1.51</v>
      </c>
      <c r="P3" s="12">
        <f>L3/O3</f>
        <v>342492.05298013246</v>
      </c>
      <c r="Q3" s="15">
        <f>L3/O3/43560</f>
        <v>7.8625356515181926</v>
      </c>
      <c r="R3" s="15">
        <f>M3/O3/43560</f>
        <v>2.3600240818783864</v>
      </c>
      <c r="S3" s="10" t="s">
        <v>24</v>
      </c>
    </row>
    <row r="4" spans="1:19" x14ac:dyDescent="0.25">
      <c r="A4" s="10" t="s">
        <v>960</v>
      </c>
      <c r="B4" s="10" t="s">
        <v>961</v>
      </c>
      <c r="C4" s="10" t="s">
        <v>957</v>
      </c>
      <c r="D4" s="11">
        <v>45447</v>
      </c>
      <c r="E4" s="12">
        <v>375000</v>
      </c>
      <c r="F4" s="10" t="s">
        <v>29</v>
      </c>
      <c r="G4" s="10" t="s">
        <v>23</v>
      </c>
      <c r="H4" s="12">
        <v>375000</v>
      </c>
      <c r="I4" s="12">
        <v>162570</v>
      </c>
      <c r="J4" s="13">
        <f>I4/H4*100</f>
        <v>43.352000000000004</v>
      </c>
      <c r="K4" s="12">
        <v>325130</v>
      </c>
      <c r="L4" s="12">
        <f>H4-221533</f>
        <v>153467</v>
      </c>
      <c r="M4" s="12">
        <v>103597</v>
      </c>
      <c r="N4" s="12">
        <f>E4*0.2</f>
        <v>75000</v>
      </c>
      <c r="O4" s="14">
        <v>0.45300000000000001</v>
      </c>
      <c r="P4" s="12">
        <f>L4/O4</f>
        <v>338779.24944812362</v>
      </c>
      <c r="Q4" s="15">
        <f>L4/O4/43560</f>
        <v>7.777301410654812</v>
      </c>
      <c r="R4" s="15">
        <f>M4/O4/43560</f>
        <v>5.2500217912620082</v>
      </c>
      <c r="S4" s="10" t="s">
        <v>24</v>
      </c>
    </row>
    <row r="5" spans="1:19" x14ac:dyDescent="0.25">
      <c r="A5" s="10" t="s">
        <v>962</v>
      </c>
      <c r="B5" s="10" t="s">
        <v>963</v>
      </c>
      <c r="C5" s="10" t="s">
        <v>957</v>
      </c>
      <c r="D5" s="11">
        <v>45667</v>
      </c>
      <c r="E5" s="12">
        <v>350000</v>
      </c>
      <c r="F5" s="10" t="s">
        <v>29</v>
      </c>
      <c r="G5" s="10" t="s">
        <v>23</v>
      </c>
      <c r="H5" s="12">
        <v>350000</v>
      </c>
      <c r="I5" s="12">
        <v>190290</v>
      </c>
      <c r="J5" s="13">
        <f>I5/H5*100</f>
        <v>54.368571428571435</v>
      </c>
      <c r="K5" s="12">
        <v>380588</v>
      </c>
      <c r="L5" s="12">
        <f>H5-290942</f>
        <v>59058</v>
      </c>
      <c r="M5" s="12">
        <v>89646</v>
      </c>
      <c r="N5" s="12">
        <f>E5*0.2</f>
        <v>70000</v>
      </c>
      <c r="O5" s="14">
        <v>0.39200000000000002</v>
      </c>
      <c r="P5" s="12">
        <f>L5/O5</f>
        <v>150658.16326530612</v>
      </c>
      <c r="Q5" s="15">
        <f>L5/O5/43560</f>
        <v>3.4586355203238321</v>
      </c>
      <c r="R5" s="15">
        <f>M5/O5/43560</f>
        <v>5.2499718895822793</v>
      </c>
      <c r="S5" s="10" t="s">
        <v>24</v>
      </c>
    </row>
    <row r="6" spans="1:19" x14ac:dyDescent="0.25">
      <c r="A6" s="10" t="s">
        <v>964</v>
      </c>
      <c r="B6" s="10" t="s">
        <v>965</v>
      </c>
      <c r="C6" s="10" t="s">
        <v>957</v>
      </c>
      <c r="D6" s="11">
        <v>45229</v>
      </c>
      <c r="E6" s="12">
        <v>425000</v>
      </c>
      <c r="F6" s="10" t="s">
        <v>22</v>
      </c>
      <c r="G6" s="10" t="s">
        <v>23</v>
      </c>
      <c r="H6" s="12">
        <v>425000</v>
      </c>
      <c r="I6" s="12">
        <v>207620</v>
      </c>
      <c r="J6" s="13">
        <f>I6/H6*100</f>
        <v>48.851764705882353</v>
      </c>
      <c r="K6" s="12">
        <v>415248</v>
      </c>
      <c r="L6" s="12">
        <f>H6-332462</f>
        <v>92538</v>
      </c>
      <c r="M6" s="12">
        <v>82786</v>
      </c>
      <c r="N6" s="12">
        <f>E6*0.2</f>
        <v>85000</v>
      </c>
      <c r="O6" s="14">
        <v>0.36199999999999999</v>
      </c>
      <c r="P6" s="12">
        <f>L6/O6</f>
        <v>255629.83425414364</v>
      </c>
      <c r="Q6" s="15">
        <f>L6/O6/43560</f>
        <v>5.8684534952741885</v>
      </c>
      <c r="R6" s="15">
        <f>M6/O6/43560</f>
        <v>5.2500139516714102</v>
      </c>
      <c r="S6" s="10" t="s">
        <v>24</v>
      </c>
    </row>
    <row r="7" spans="1:19" ht="15.75" thickBot="1" x14ac:dyDescent="0.3">
      <c r="A7" s="16"/>
      <c r="B7" s="16"/>
      <c r="C7" s="16"/>
      <c r="D7" s="17"/>
      <c r="E7" s="18"/>
      <c r="F7" s="16"/>
      <c r="G7" s="16"/>
      <c r="H7" s="18"/>
      <c r="I7" s="18"/>
      <c r="J7" s="19"/>
      <c r="K7" s="18"/>
      <c r="L7" s="18">
        <f>AVERAGE(L2:L6)</f>
        <v>207162.6</v>
      </c>
      <c r="M7" s="18">
        <f>AVERAGE(M2:M6)</f>
        <v>104330.2</v>
      </c>
      <c r="N7" s="18">
        <f>AVERAGE(N2:N6)</f>
        <v>109400</v>
      </c>
      <c r="O7" s="20"/>
      <c r="P7" s="18"/>
      <c r="Q7" s="21">
        <f>AVERAGE(Q2:Q6)</f>
        <v>7.1023240664285394</v>
      </c>
      <c r="R7" s="21">
        <f>AVERAGE(R2:R6)</f>
        <v>4.5145090828888881</v>
      </c>
      <c r="S7" s="16"/>
    </row>
    <row r="8" spans="1:19" ht="15.75" thickTop="1" x14ac:dyDescent="0.25">
      <c r="A8" s="10"/>
      <c r="B8" s="10"/>
      <c r="C8" s="10"/>
      <c r="D8" s="11"/>
      <c r="E8" s="12"/>
      <c r="F8" s="10"/>
      <c r="G8" s="10"/>
      <c r="H8" s="12"/>
      <c r="I8" s="12"/>
      <c r="J8" s="13"/>
      <c r="K8" s="12"/>
      <c r="L8" s="12"/>
      <c r="M8" s="12"/>
      <c r="N8" s="12"/>
      <c r="O8" s="14"/>
      <c r="P8" s="12"/>
      <c r="Q8" s="15"/>
      <c r="R8" s="15"/>
      <c r="S8" s="10"/>
    </row>
    <row r="9" spans="1:19" x14ac:dyDescent="0.25">
      <c r="A9" s="10" t="s">
        <v>966</v>
      </c>
      <c r="B9" s="10" t="s">
        <v>967</v>
      </c>
      <c r="C9" s="10" t="s">
        <v>968</v>
      </c>
      <c r="D9" s="11">
        <v>45525</v>
      </c>
      <c r="E9" s="12">
        <v>356250</v>
      </c>
      <c r="F9" s="10" t="s">
        <v>29</v>
      </c>
      <c r="G9" s="10" t="s">
        <v>23</v>
      </c>
      <c r="H9" s="12">
        <v>356250</v>
      </c>
      <c r="I9" s="12">
        <v>123320</v>
      </c>
      <c r="J9" s="13">
        <f t="shared" ref="J9:J36" si="0">I9/H9*100</f>
        <v>34.616140350877195</v>
      </c>
      <c r="K9" s="12">
        <v>246647</v>
      </c>
      <c r="L9" s="12">
        <f>H9-189004</f>
        <v>167246</v>
      </c>
      <c r="M9" s="12">
        <v>57643</v>
      </c>
      <c r="N9" s="12">
        <f t="shared" ref="N9:N36" si="1">E9*0.2</f>
        <v>71250</v>
      </c>
      <c r="O9" s="14">
        <v>0.40100000000000002</v>
      </c>
      <c r="P9" s="12">
        <f t="shared" ref="P9:P36" si="2">L9/O9</f>
        <v>417072.31920199498</v>
      </c>
      <c r="Q9" s="15">
        <f t="shared" ref="Q9:Q36" si="3">L9/O9/43560</f>
        <v>9.5746629752524104</v>
      </c>
      <c r="R9" s="15">
        <f t="shared" ref="R9:R36" si="4">M9/O9/43560</f>
        <v>3.3000029769469803</v>
      </c>
      <c r="S9" s="10" t="s">
        <v>24</v>
      </c>
    </row>
    <row r="10" spans="1:19" x14ac:dyDescent="0.25">
      <c r="A10" s="10" t="s">
        <v>969</v>
      </c>
      <c r="B10" s="10" t="s">
        <v>970</v>
      </c>
      <c r="C10" s="10" t="s">
        <v>968</v>
      </c>
      <c r="D10" s="11">
        <v>45331</v>
      </c>
      <c r="E10" s="12">
        <v>430000</v>
      </c>
      <c r="F10" s="10" t="s">
        <v>22</v>
      </c>
      <c r="G10" s="10" t="s">
        <v>23</v>
      </c>
      <c r="H10" s="12">
        <v>430000</v>
      </c>
      <c r="I10" s="12">
        <v>191140</v>
      </c>
      <c r="J10" s="13">
        <f t="shared" si="0"/>
        <v>44.451162790697673</v>
      </c>
      <c r="K10" s="12">
        <v>382285</v>
      </c>
      <c r="L10" s="12">
        <f>H10-295775</f>
        <v>134225</v>
      </c>
      <c r="M10" s="12">
        <v>86510</v>
      </c>
      <c r="N10" s="12">
        <f t="shared" si="1"/>
        <v>86000</v>
      </c>
      <c r="O10" s="14">
        <v>0.33100000000000002</v>
      </c>
      <c r="P10" s="12">
        <f t="shared" si="2"/>
        <v>405513.59516616311</v>
      </c>
      <c r="Q10" s="15">
        <f t="shared" si="3"/>
        <v>9.3093111837962148</v>
      </c>
      <c r="R10" s="15">
        <f t="shared" si="4"/>
        <v>5.999988903037516</v>
      </c>
      <c r="S10" s="10" t="s">
        <v>24</v>
      </c>
    </row>
    <row r="11" spans="1:19" x14ac:dyDescent="0.25">
      <c r="A11" s="10" t="s">
        <v>971</v>
      </c>
      <c r="B11" s="10" t="s">
        <v>972</v>
      </c>
      <c r="C11" s="10" t="s">
        <v>968</v>
      </c>
      <c r="D11" s="11">
        <v>45247</v>
      </c>
      <c r="E11" s="12">
        <v>289900</v>
      </c>
      <c r="F11" s="10" t="s">
        <v>29</v>
      </c>
      <c r="G11" s="10" t="s">
        <v>23</v>
      </c>
      <c r="H11" s="12">
        <v>289900</v>
      </c>
      <c r="I11" s="12">
        <v>122890</v>
      </c>
      <c r="J11" s="13">
        <f t="shared" si="0"/>
        <v>42.390479475681268</v>
      </c>
      <c r="K11" s="12">
        <v>245770</v>
      </c>
      <c r="L11" s="12">
        <f>H11-176431</f>
        <v>113469</v>
      </c>
      <c r="M11" s="12">
        <v>69339</v>
      </c>
      <c r="N11" s="12">
        <f t="shared" si="1"/>
        <v>57980</v>
      </c>
      <c r="O11" s="14">
        <v>0.379</v>
      </c>
      <c r="P11" s="12">
        <f t="shared" si="2"/>
        <v>299390.50131926121</v>
      </c>
      <c r="Q11" s="15">
        <f t="shared" si="3"/>
        <v>6.8730601772098536</v>
      </c>
      <c r="R11" s="15">
        <f t="shared" si="4"/>
        <v>4.2000116298509198</v>
      </c>
      <c r="S11" s="10" t="s">
        <v>24</v>
      </c>
    </row>
    <row r="12" spans="1:19" x14ac:dyDescent="0.25">
      <c r="A12" s="10" t="s">
        <v>973</v>
      </c>
      <c r="B12" s="10" t="s">
        <v>974</v>
      </c>
      <c r="C12" s="10" t="s">
        <v>968</v>
      </c>
      <c r="D12" s="11">
        <v>45429</v>
      </c>
      <c r="E12" s="12">
        <v>365000</v>
      </c>
      <c r="F12" s="10" t="s">
        <v>22</v>
      </c>
      <c r="G12" s="10" t="s">
        <v>23</v>
      </c>
      <c r="H12" s="12">
        <v>365000</v>
      </c>
      <c r="I12" s="12">
        <v>166980</v>
      </c>
      <c r="J12" s="13">
        <f t="shared" si="0"/>
        <v>45.747945205479454</v>
      </c>
      <c r="K12" s="12">
        <v>333950</v>
      </c>
      <c r="L12" s="12">
        <f>H12-240383</f>
        <v>124617</v>
      </c>
      <c r="M12" s="12">
        <v>93567</v>
      </c>
      <c r="N12" s="12">
        <f t="shared" si="1"/>
        <v>73000</v>
      </c>
      <c r="O12" s="14">
        <v>0.35799999999999998</v>
      </c>
      <c r="P12" s="12">
        <f t="shared" si="2"/>
        <v>348092.17877094971</v>
      </c>
      <c r="Q12" s="15">
        <f t="shared" si="3"/>
        <v>7.9910968496544932</v>
      </c>
      <c r="R12" s="15">
        <f t="shared" si="4"/>
        <v>6.0000076950305496</v>
      </c>
      <c r="S12" s="10" t="s">
        <v>24</v>
      </c>
    </row>
    <row r="13" spans="1:19" x14ac:dyDescent="0.25">
      <c r="A13" s="10" t="s">
        <v>975</v>
      </c>
      <c r="B13" s="10" t="s">
        <v>976</v>
      </c>
      <c r="C13" s="10" t="s">
        <v>968</v>
      </c>
      <c r="D13" s="11">
        <v>45581</v>
      </c>
      <c r="E13" s="12">
        <v>305000</v>
      </c>
      <c r="F13" s="10" t="s">
        <v>29</v>
      </c>
      <c r="G13" s="10" t="s">
        <v>23</v>
      </c>
      <c r="H13" s="12">
        <v>305000</v>
      </c>
      <c r="I13" s="12">
        <v>139180</v>
      </c>
      <c r="J13" s="13">
        <f t="shared" si="0"/>
        <v>45.632786885245899</v>
      </c>
      <c r="K13" s="12">
        <v>278353</v>
      </c>
      <c r="L13" s="12">
        <f>H13-191843</f>
        <v>113157</v>
      </c>
      <c r="M13" s="12">
        <v>86510</v>
      </c>
      <c r="N13" s="12">
        <f t="shared" si="1"/>
        <v>61000</v>
      </c>
      <c r="O13" s="14">
        <v>0.33100000000000002</v>
      </c>
      <c r="P13" s="12">
        <f t="shared" si="2"/>
        <v>341864.04833836854</v>
      </c>
      <c r="Q13" s="15">
        <f t="shared" si="3"/>
        <v>7.8481186487228776</v>
      </c>
      <c r="R13" s="15">
        <f t="shared" si="4"/>
        <v>5.999988903037516</v>
      </c>
      <c r="S13" s="10" t="s">
        <v>24</v>
      </c>
    </row>
    <row r="14" spans="1:19" x14ac:dyDescent="0.25">
      <c r="A14" s="10" t="s">
        <v>977</v>
      </c>
      <c r="B14" s="10" t="s">
        <v>978</v>
      </c>
      <c r="C14" s="10" t="s">
        <v>968</v>
      </c>
      <c r="D14" s="11">
        <v>45719</v>
      </c>
      <c r="E14" s="12">
        <v>373000</v>
      </c>
      <c r="F14" s="10" t="s">
        <v>22</v>
      </c>
      <c r="G14" s="10" t="s">
        <v>23</v>
      </c>
      <c r="H14" s="12">
        <v>373000</v>
      </c>
      <c r="I14" s="12">
        <v>170820</v>
      </c>
      <c r="J14" s="13">
        <f t="shared" si="0"/>
        <v>45.796246648793563</v>
      </c>
      <c r="K14" s="12">
        <v>341640</v>
      </c>
      <c r="L14" s="12">
        <f>H14-255130</f>
        <v>117870</v>
      </c>
      <c r="M14" s="12">
        <v>86510</v>
      </c>
      <c r="N14" s="12">
        <f t="shared" si="1"/>
        <v>74600</v>
      </c>
      <c r="O14" s="14">
        <v>0.33100000000000002</v>
      </c>
      <c r="P14" s="12">
        <f t="shared" si="2"/>
        <v>356102.7190332326</v>
      </c>
      <c r="Q14" s="15">
        <f t="shared" si="3"/>
        <v>8.174993549890555</v>
      </c>
      <c r="R14" s="15">
        <f t="shared" si="4"/>
        <v>5.999988903037516</v>
      </c>
      <c r="S14" s="10" t="s">
        <v>24</v>
      </c>
    </row>
    <row r="15" spans="1:19" x14ac:dyDescent="0.25">
      <c r="A15" s="10" t="s">
        <v>979</v>
      </c>
      <c r="B15" s="10" t="s">
        <v>980</v>
      </c>
      <c r="C15" s="10" t="s">
        <v>968</v>
      </c>
      <c r="D15" s="11">
        <v>45086</v>
      </c>
      <c r="E15" s="12">
        <v>350000</v>
      </c>
      <c r="F15" s="10" t="s">
        <v>22</v>
      </c>
      <c r="G15" s="10" t="s">
        <v>23</v>
      </c>
      <c r="H15" s="12">
        <v>350000</v>
      </c>
      <c r="I15" s="12">
        <v>170980</v>
      </c>
      <c r="J15" s="13">
        <f t="shared" si="0"/>
        <v>48.851428571428571</v>
      </c>
      <c r="K15" s="12">
        <v>341954</v>
      </c>
      <c r="L15" s="12">
        <f>H15-255705</f>
        <v>94295</v>
      </c>
      <c r="M15" s="12">
        <v>86249</v>
      </c>
      <c r="N15" s="12">
        <f t="shared" si="1"/>
        <v>70000</v>
      </c>
      <c r="O15" s="14">
        <v>0.33</v>
      </c>
      <c r="P15" s="12">
        <f t="shared" si="2"/>
        <v>285742.42424242425</v>
      </c>
      <c r="Q15" s="15">
        <f t="shared" si="3"/>
        <v>6.5597434399087291</v>
      </c>
      <c r="R15" s="15">
        <f t="shared" si="4"/>
        <v>6.0000139132370531</v>
      </c>
      <c r="S15" s="10" t="s">
        <v>24</v>
      </c>
    </row>
    <row r="16" spans="1:19" x14ac:dyDescent="0.25">
      <c r="A16" s="10" t="s">
        <v>981</v>
      </c>
      <c r="B16" s="10" t="s">
        <v>982</v>
      </c>
      <c r="C16" s="10" t="s">
        <v>968</v>
      </c>
      <c r="D16" s="11">
        <v>45076</v>
      </c>
      <c r="E16" s="12">
        <v>417000</v>
      </c>
      <c r="F16" s="10" t="s">
        <v>22</v>
      </c>
      <c r="G16" s="10" t="s">
        <v>23</v>
      </c>
      <c r="H16" s="12">
        <v>417000</v>
      </c>
      <c r="I16" s="12">
        <v>257510</v>
      </c>
      <c r="J16" s="13">
        <f t="shared" si="0"/>
        <v>61.752997601918466</v>
      </c>
      <c r="K16" s="12">
        <v>515017</v>
      </c>
      <c r="L16" s="12">
        <f>H16-428507</f>
        <v>-11507</v>
      </c>
      <c r="M16" s="12">
        <v>86510</v>
      </c>
      <c r="N16" s="12">
        <f t="shared" si="1"/>
        <v>83400</v>
      </c>
      <c r="O16" s="14">
        <v>0.33100000000000002</v>
      </c>
      <c r="P16" s="12">
        <f t="shared" si="2"/>
        <v>-34764.350453172206</v>
      </c>
      <c r="Q16" s="15">
        <f t="shared" si="3"/>
        <v>-0.79807967064215346</v>
      </c>
      <c r="R16" s="15">
        <f t="shared" si="4"/>
        <v>5.999988903037516</v>
      </c>
      <c r="S16" s="10" t="s">
        <v>24</v>
      </c>
    </row>
    <row r="17" spans="1:19" x14ac:dyDescent="0.25">
      <c r="A17" s="10" t="s">
        <v>983</v>
      </c>
      <c r="B17" s="10" t="s">
        <v>984</v>
      </c>
      <c r="C17" s="10" t="s">
        <v>968</v>
      </c>
      <c r="D17" s="11">
        <v>45740</v>
      </c>
      <c r="E17" s="12">
        <v>501000</v>
      </c>
      <c r="F17" s="10" t="s">
        <v>29</v>
      </c>
      <c r="G17" s="10" t="s">
        <v>23</v>
      </c>
      <c r="H17" s="12">
        <v>501000</v>
      </c>
      <c r="I17" s="12">
        <v>236610</v>
      </c>
      <c r="J17" s="13">
        <f t="shared" si="0"/>
        <v>47.227544910179645</v>
      </c>
      <c r="K17" s="12">
        <v>473216</v>
      </c>
      <c r="L17" s="12">
        <f>H17-369717</f>
        <v>131283</v>
      </c>
      <c r="M17" s="12">
        <v>103499</v>
      </c>
      <c r="N17" s="12">
        <f t="shared" si="1"/>
        <v>100200</v>
      </c>
      <c r="O17" s="14">
        <v>0.39600000000000002</v>
      </c>
      <c r="P17" s="12">
        <f t="shared" si="2"/>
        <v>331522.72727272724</v>
      </c>
      <c r="Q17" s="15">
        <f t="shared" si="3"/>
        <v>7.6107145838550787</v>
      </c>
      <c r="R17" s="15">
        <f t="shared" si="4"/>
        <v>6.000025507601265</v>
      </c>
      <c r="S17" s="10" t="s">
        <v>24</v>
      </c>
    </row>
    <row r="18" spans="1:19" x14ac:dyDescent="0.25">
      <c r="A18" s="10" t="s">
        <v>985</v>
      </c>
      <c r="B18" s="10" t="s">
        <v>986</v>
      </c>
      <c r="C18" s="10" t="s">
        <v>968</v>
      </c>
      <c r="D18" s="11">
        <v>45212</v>
      </c>
      <c r="E18" s="12">
        <v>400000</v>
      </c>
      <c r="F18" s="10" t="s">
        <v>22</v>
      </c>
      <c r="G18" s="10" t="s">
        <v>23</v>
      </c>
      <c r="H18" s="12">
        <v>400000</v>
      </c>
      <c r="I18" s="12">
        <v>185720</v>
      </c>
      <c r="J18" s="13">
        <f t="shared" si="0"/>
        <v>46.43</v>
      </c>
      <c r="K18" s="12">
        <v>371439</v>
      </c>
      <c r="L18" s="12">
        <f>H18-299565</f>
        <v>100435</v>
      </c>
      <c r="M18" s="12">
        <v>71874</v>
      </c>
      <c r="N18" s="12">
        <f t="shared" si="1"/>
        <v>80000</v>
      </c>
      <c r="O18" s="14">
        <v>0.27500000000000002</v>
      </c>
      <c r="P18" s="12">
        <f t="shared" si="2"/>
        <v>365218.18181818177</v>
      </c>
      <c r="Q18" s="15">
        <f t="shared" si="3"/>
        <v>8.384255780949994</v>
      </c>
      <c r="R18" s="15">
        <f t="shared" si="4"/>
        <v>5.9999999999999991</v>
      </c>
      <c r="S18" s="10" t="s">
        <v>24</v>
      </c>
    </row>
    <row r="19" spans="1:19" x14ac:dyDescent="0.25">
      <c r="A19" s="10" t="s">
        <v>987</v>
      </c>
      <c r="B19" s="10" t="s">
        <v>988</v>
      </c>
      <c r="C19" s="10" t="s">
        <v>968</v>
      </c>
      <c r="D19" s="11">
        <v>45219</v>
      </c>
      <c r="E19" s="12">
        <v>365000</v>
      </c>
      <c r="F19" s="10" t="s">
        <v>22</v>
      </c>
      <c r="G19" s="10" t="s">
        <v>23</v>
      </c>
      <c r="H19" s="12">
        <v>365000</v>
      </c>
      <c r="I19" s="12">
        <v>192050</v>
      </c>
      <c r="J19" s="13">
        <f t="shared" si="0"/>
        <v>52.616438356164387</v>
      </c>
      <c r="K19" s="12">
        <v>384102</v>
      </c>
      <c r="L19" s="12">
        <f>H19-312228</f>
        <v>52772</v>
      </c>
      <c r="M19" s="12">
        <v>71874</v>
      </c>
      <c r="N19" s="12">
        <f t="shared" si="1"/>
        <v>73000</v>
      </c>
      <c r="O19" s="14">
        <v>0.27500000000000002</v>
      </c>
      <c r="P19" s="12">
        <f t="shared" si="2"/>
        <v>191898.18181818179</v>
      </c>
      <c r="Q19" s="15">
        <f t="shared" si="3"/>
        <v>4.4053760747975614</v>
      </c>
      <c r="R19" s="15">
        <f t="shared" si="4"/>
        <v>5.9999999999999991</v>
      </c>
      <c r="S19" s="10" t="s">
        <v>24</v>
      </c>
    </row>
    <row r="20" spans="1:19" x14ac:dyDescent="0.25">
      <c r="A20" s="10" t="s">
        <v>989</v>
      </c>
      <c r="B20" s="10" t="s">
        <v>990</v>
      </c>
      <c r="C20" s="10" t="s">
        <v>968</v>
      </c>
      <c r="D20" s="11">
        <v>45450</v>
      </c>
      <c r="E20" s="12">
        <v>450800</v>
      </c>
      <c r="F20" s="10" t="s">
        <v>22</v>
      </c>
      <c r="G20" s="10" t="s">
        <v>23</v>
      </c>
      <c r="H20" s="12">
        <v>450800</v>
      </c>
      <c r="I20" s="12">
        <v>182210</v>
      </c>
      <c r="J20" s="13">
        <f t="shared" si="0"/>
        <v>40.419254658385093</v>
      </c>
      <c r="K20" s="12">
        <v>364428</v>
      </c>
      <c r="L20" s="12">
        <f>H20-292554</f>
        <v>158246</v>
      </c>
      <c r="M20" s="12">
        <v>71874</v>
      </c>
      <c r="N20" s="12">
        <f t="shared" si="1"/>
        <v>90160</v>
      </c>
      <c r="O20" s="14">
        <v>0.27500000000000002</v>
      </c>
      <c r="P20" s="12">
        <f t="shared" si="2"/>
        <v>575440</v>
      </c>
      <c r="Q20" s="15">
        <f t="shared" si="3"/>
        <v>13.21028466483012</v>
      </c>
      <c r="R20" s="15">
        <f t="shared" si="4"/>
        <v>5.9999999999999991</v>
      </c>
      <c r="S20" s="10" t="s">
        <v>24</v>
      </c>
    </row>
    <row r="21" spans="1:19" x14ac:dyDescent="0.25">
      <c r="A21" s="10" t="s">
        <v>991</v>
      </c>
      <c r="B21" s="10" t="s">
        <v>992</v>
      </c>
      <c r="C21" s="10" t="s">
        <v>968</v>
      </c>
      <c r="D21" s="11">
        <v>45320</v>
      </c>
      <c r="E21" s="12">
        <v>341300</v>
      </c>
      <c r="F21" s="10" t="s">
        <v>22</v>
      </c>
      <c r="G21" s="10" t="s">
        <v>23</v>
      </c>
      <c r="H21" s="12">
        <v>341300</v>
      </c>
      <c r="I21" s="12">
        <v>188290</v>
      </c>
      <c r="J21" s="13">
        <f t="shared" si="0"/>
        <v>55.168473483738644</v>
      </c>
      <c r="K21" s="12">
        <v>376576</v>
      </c>
      <c r="L21" s="12">
        <f>H21-277782</f>
        <v>63518</v>
      </c>
      <c r="M21" s="12">
        <v>98794</v>
      </c>
      <c r="N21" s="12">
        <f t="shared" si="1"/>
        <v>68260</v>
      </c>
      <c r="O21" s="14">
        <v>0.378</v>
      </c>
      <c r="P21" s="12">
        <f t="shared" si="2"/>
        <v>168037.03703703702</v>
      </c>
      <c r="Q21" s="15">
        <f t="shared" si="3"/>
        <v>3.8575995646702714</v>
      </c>
      <c r="R21" s="15">
        <f t="shared" si="4"/>
        <v>5.9999951414092827</v>
      </c>
      <c r="S21" s="10" t="s">
        <v>24</v>
      </c>
    </row>
    <row r="22" spans="1:19" x14ac:dyDescent="0.25">
      <c r="A22" s="10" t="s">
        <v>993</v>
      </c>
      <c r="B22" s="10" t="s">
        <v>994</v>
      </c>
      <c r="C22" s="10" t="s">
        <v>968</v>
      </c>
      <c r="D22" s="11">
        <v>45623</v>
      </c>
      <c r="E22" s="12">
        <v>399900</v>
      </c>
      <c r="F22" s="10" t="s">
        <v>22</v>
      </c>
      <c r="G22" s="10" t="s">
        <v>23</v>
      </c>
      <c r="H22" s="12">
        <v>399900</v>
      </c>
      <c r="I22" s="12">
        <v>204530</v>
      </c>
      <c r="J22" s="13">
        <f t="shared" si="0"/>
        <v>51.1452863215804</v>
      </c>
      <c r="K22" s="12">
        <v>409064</v>
      </c>
      <c r="L22" s="12">
        <f>H22-297986</f>
        <v>101914</v>
      </c>
      <c r="M22" s="12">
        <v>111078</v>
      </c>
      <c r="N22" s="12">
        <f t="shared" si="1"/>
        <v>79980</v>
      </c>
      <c r="O22" s="14">
        <v>0.42499999999999999</v>
      </c>
      <c r="P22" s="12">
        <f t="shared" si="2"/>
        <v>239797.64705882352</v>
      </c>
      <c r="Q22" s="15">
        <f t="shared" si="3"/>
        <v>5.504996488953708</v>
      </c>
      <c r="R22" s="15">
        <f t="shared" si="4"/>
        <v>6</v>
      </c>
      <c r="S22" s="10" t="s">
        <v>24</v>
      </c>
    </row>
    <row r="23" spans="1:19" x14ac:dyDescent="0.25">
      <c r="A23" s="10" t="s">
        <v>995</v>
      </c>
      <c r="B23" s="10" t="s">
        <v>996</v>
      </c>
      <c r="C23" s="10" t="s">
        <v>968</v>
      </c>
      <c r="D23" s="11">
        <v>45449</v>
      </c>
      <c r="E23" s="12">
        <v>475000</v>
      </c>
      <c r="F23" s="10" t="s">
        <v>22</v>
      </c>
      <c r="G23" s="10" t="s">
        <v>23</v>
      </c>
      <c r="H23" s="12">
        <v>475000</v>
      </c>
      <c r="I23" s="12">
        <v>184680</v>
      </c>
      <c r="J23" s="13">
        <f t="shared" si="0"/>
        <v>38.879999999999995</v>
      </c>
      <c r="K23" s="12">
        <v>369358</v>
      </c>
      <c r="L23" s="12">
        <f>H23-288075</f>
        <v>186925</v>
      </c>
      <c r="M23" s="12">
        <v>81283</v>
      </c>
      <c r="N23" s="12">
        <f t="shared" si="1"/>
        <v>95000</v>
      </c>
      <c r="O23" s="14">
        <v>0.311</v>
      </c>
      <c r="P23" s="12">
        <f t="shared" si="2"/>
        <v>601045.01607717038</v>
      </c>
      <c r="Q23" s="15">
        <f t="shared" si="3"/>
        <v>13.798094951266538</v>
      </c>
      <c r="R23" s="15">
        <f t="shared" si="4"/>
        <v>6.0000029526483782</v>
      </c>
      <c r="S23" s="10" t="s">
        <v>24</v>
      </c>
    </row>
    <row r="24" spans="1:19" x14ac:dyDescent="0.25">
      <c r="A24" s="10" t="s">
        <v>997</v>
      </c>
      <c r="B24" s="10" t="s">
        <v>998</v>
      </c>
      <c r="C24" s="10" t="s">
        <v>968</v>
      </c>
      <c r="D24" s="11">
        <v>45470</v>
      </c>
      <c r="E24" s="12">
        <v>280000</v>
      </c>
      <c r="F24" s="10" t="s">
        <v>29</v>
      </c>
      <c r="G24" s="10" t="s">
        <v>23</v>
      </c>
      <c r="H24" s="12">
        <v>280000</v>
      </c>
      <c r="I24" s="12">
        <v>141220</v>
      </c>
      <c r="J24" s="13">
        <f t="shared" si="0"/>
        <v>50.435714285714283</v>
      </c>
      <c r="K24" s="12">
        <v>282446</v>
      </c>
      <c r="L24" s="12">
        <f>H24-201947</f>
        <v>78053</v>
      </c>
      <c r="M24" s="12">
        <v>80499</v>
      </c>
      <c r="N24" s="12">
        <f t="shared" si="1"/>
        <v>56000</v>
      </c>
      <c r="O24" s="14">
        <v>0.308</v>
      </c>
      <c r="P24" s="12">
        <f t="shared" si="2"/>
        <v>253418.83116883118</v>
      </c>
      <c r="Q24" s="15">
        <f t="shared" si="3"/>
        <v>5.8176958486875847</v>
      </c>
      <c r="R24" s="15">
        <f t="shared" si="4"/>
        <v>6.0000089442238203</v>
      </c>
      <c r="S24" s="10" t="s">
        <v>24</v>
      </c>
    </row>
    <row r="25" spans="1:19" x14ac:dyDescent="0.25">
      <c r="A25" s="10" t="s">
        <v>997</v>
      </c>
      <c r="B25" s="10" t="s">
        <v>998</v>
      </c>
      <c r="C25" s="10" t="s">
        <v>968</v>
      </c>
      <c r="D25" s="11">
        <v>45470</v>
      </c>
      <c r="E25" s="12">
        <v>280000</v>
      </c>
      <c r="F25" s="10" t="s">
        <v>22</v>
      </c>
      <c r="G25" s="10" t="s">
        <v>23</v>
      </c>
      <c r="H25" s="12">
        <v>280000</v>
      </c>
      <c r="I25" s="12">
        <v>141220</v>
      </c>
      <c r="J25" s="13">
        <f t="shared" si="0"/>
        <v>50.435714285714283</v>
      </c>
      <c r="K25" s="12">
        <v>282446</v>
      </c>
      <c r="L25" s="12">
        <f>H25-201947</f>
        <v>78053</v>
      </c>
      <c r="M25" s="12">
        <v>80499</v>
      </c>
      <c r="N25" s="12">
        <f t="shared" si="1"/>
        <v>56000</v>
      </c>
      <c r="O25" s="14">
        <v>0.308</v>
      </c>
      <c r="P25" s="12">
        <f t="shared" si="2"/>
        <v>253418.83116883118</v>
      </c>
      <c r="Q25" s="15">
        <f t="shared" si="3"/>
        <v>5.8176958486875847</v>
      </c>
      <c r="R25" s="15">
        <f t="shared" si="4"/>
        <v>6.0000089442238203</v>
      </c>
      <c r="S25" s="10" t="s">
        <v>24</v>
      </c>
    </row>
    <row r="26" spans="1:19" x14ac:dyDescent="0.25">
      <c r="A26" s="10" t="s">
        <v>997</v>
      </c>
      <c r="B26" s="10" t="s">
        <v>998</v>
      </c>
      <c r="C26" s="10" t="s">
        <v>968</v>
      </c>
      <c r="D26" s="11">
        <v>45708</v>
      </c>
      <c r="E26" s="12">
        <v>403000</v>
      </c>
      <c r="F26" s="10" t="s">
        <v>22</v>
      </c>
      <c r="G26" s="10" t="s">
        <v>23</v>
      </c>
      <c r="H26" s="12">
        <v>403000</v>
      </c>
      <c r="I26" s="12">
        <v>140040</v>
      </c>
      <c r="J26" s="13">
        <f t="shared" si="0"/>
        <v>34.749379652605462</v>
      </c>
      <c r="K26" s="12">
        <v>280070</v>
      </c>
      <c r="L26" s="12">
        <f>H26-199571</f>
        <v>203429</v>
      </c>
      <c r="M26" s="12">
        <v>80499</v>
      </c>
      <c r="N26" s="12">
        <f t="shared" si="1"/>
        <v>80600</v>
      </c>
      <c r="O26" s="14">
        <v>0.308</v>
      </c>
      <c r="P26" s="12">
        <f t="shared" si="2"/>
        <v>660483.76623376622</v>
      </c>
      <c r="Q26" s="15">
        <f t="shared" si="3"/>
        <v>15.162620896091971</v>
      </c>
      <c r="R26" s="15">
        <f t="shared" si="4"/>
        <v>6.0000089442238203</v>
      </c>
      <c r="S26" s="10" t="s">
        <v>24</v>
      </c>
    </row>
    <row r="27" spans="1:19" x14ac:dyDescent="0.25">
      <c r="A27" s="10" t="s">
        <v>999</v>
      </c>
      <c r="B27" s="10" t="s">
        <v>1000</v>
      </c>
      <c r="C27" s="10" t="s">
        <v>968</v>
      </c>
      <c r="D27" s="11">
        <v>45446</v>
      </c>
      <c r="E27" s="12">
        <v>440000</v>
      </c>
      <c r="F27" s="10" t="s">
        <v>29</v>
      </c>
      <c r="G27" s="10" t="s">
        <v>23</v>
      </c>
      <c r="H27" s="12">
        <v>440000</v>
      </c>
      <c r="I27" s="12">
        <v>167950</v>
      </c>
      <c r="J27" s="13">
        <f t="shared" si="0"/>
        <v>38.170454545454547</v>
      </c>
      <c r="K27" s="12">
        <v>335905</v>
      </c>
      <c r="L27" s="12">
        <f>H27-254622</f>
        <v>185378</v>
      </c>
      <c r="M27" s="12">
        <v>81283</v>
      </c>
      <c r="N27" s="12">
        <f t="shared" si="1"/>
        <v>88000</v>
      </c>
      <c r="O27" s="14">
        <v>0.311</v>
      </c>
      <c r="P27" s="12">
        <f t="shared" si="2"/>
        <v>596070.73954983929</v>
      </c>
      <c r="Q27" s="15">
        <f t="shared" si="3"/>
        <v>13.683901275248836</v>
      </c>
      <c r="R27" s="15">
        <f t="shared" si="4"/>
        <v>6.0000029526483782</v>
      </c>
      <c r="S27" s="10" t="s">
        <v>24</v>
      </c>
    </row>
    <row r="28" spans="1:19" x14ac:dyDescent="0.25">
      <c r="A28" s="10" t="s">
        <v>1001</v>
      </c>
      <c r="B28" s="10" t="s">
        <v>1002</v>
      </c>
      <c r="C28" s="10" t="s">
        <v>968</v>
      </c>
      <c r="D28" s="11">
        <v>45303</v>
      </c>
      <c r="E28" s="12">
        <v>487500</v>
      </c>
      <c r="F28" s="10" t="s">
        <v>29</v>
      </c>
      <c r="G28" s="10" t="s">
        <v>23</v>
      </c>
      <c r="H28" s="12">
        <v>487500</v>
      </c>
      <c r="I28" s="12">
        <v>190580</v>
      </c>
      <c r="J28" s="13">
        <f t="shared" si="0"/>
        <v>39.093333333333334</v>
      </c>
      <c r="K28" s="12">
        <v>381153</v>
      </c>
      <c r="L28" s="12">
        <f>H28-299870</f>
        <v>187630</v>
      </c>
      <c r="M28" s="12">
        <v>81283</v>
      </c>
      <c r="N28" s="12">
        <f t="shared" si="1"/>
        <v>97500</v>
      </c>
      <c r="O28" s="14">
        <v>0.311</v>
      </c>
      <c r="P28" s="12">
        <f t="shared" si="2"/>
        <v>603311.8971061093</v>
      </c>
      <c r="Q28" s="15">
        <f t="shared" si="3"/>
        <v>13.85013537892813</v>
      </c>
      <c r="R28" s="15">
        <f t="shared" si="4"/>
        <v>6.0000029526483782</v>
      </c>
      <c r="S28" s="10" t="s">
        <v>24</v>
      </c>
    </row>
    <row r="29" spans="1:19" x14ac:dyDescent="0.25">
      <c r="A29" s="10" t="s">
        <v>1003</v>
      </c>
      <c r="B29" s="10" t="s">
        <v>1004</v>
      </c>
      <c r="C29" s="10" t="s">
        <v>968</v>
      </c>
      <c r="D29" s="11">
        <v>45243</v>
      </c>
      <c r="E29" s="12">
        <v>425000</v>
      </c>
      <c r="F29" s="10" t="s">
        <v>29</v>
      </c>
      <c r="G29" s="10" t="s">
        <v>23</v>
      </c>
      <c r="H29" s="12">
        <v>425000</v>
      </c>
      <c r="I29" s="12">
        <v>176610</v>
      </c>
      <c r="J29" s="13">
        <f t="shared" si="0"/>
        <v>41.555294117647058</v>
      </c>
      <c r="K29" s="12">
        <v>353221</v>
      </c>
      <c r="L29" s="12">
        <f>H29-271415</f>
        <v>153585</v>
      </c>
      <c r="M29" s="12">
        <v>81806</v>
      </c>
      <c r="N29" s="12">
        <f t="shared" si="1"/>
        <v>85000</v>
      </c>
      <c r="O29" s="14">
        <v>0.313</v>
      </c>
      <c r="P29" s="12">
        <f t="shared" si="2"/>
        <v>490686.90095846646</v>
      </c>
      <c r="Q29" s="15">
        <f t="shared" si="3"/>
        <v>11.264621234124574</v>
      </c>
      <c r="R29" s="15">
        <f t="shared" si="4"/>
        <v>6.0000234702529216</v>
      </c>
      <c r="S29" s="10" t="s">
        <v>24</v>
      </c>
    </row>
    <row r="30" spans="1:19" x14ac:dyDescent="0.25">
      <c r="A30" s="10" t="s">
        <v>1005</v>
      </c>
      <c r="B30" s="10" t="s">
        <v>1006</v>
      </c>
      <c r="C30" s="10" t="s">
        <v>968</v>
      </c>
      <c r="D30" s="11">
        <v>45180</v>
      </c>
      <c r="E30" s="12">
        <v>515000</v>
      </c>
      <c r="F30" s="10" t="s">
        <v>29</v>
      </c>
      <c r="G30" s="10" t="s">
        <v>23</v>
      </c>
      <c r="H30" s="12">
        <v>515000</v>
      </c>
      <c r="I30" s="12">
        <v>224440</v>
      </c>
      <c r="J30" s="13">
        <f t="shared" si="0"/>
        <v>43.580582524271847</v>
      </c>
      <c r="K30" s="12">
        <v>448884</v>
      </c>
      <c r="L30" s="12">
        <f>H30-330488</f>
        <v>184512</v>
      </c>
      <c r="M30" s="12">
        <v>118396</v>
      </c>
      <c r="N30" s="12">
        <f t="shared" si="1"/>
        <v>103000</v>
      </c>
      <c r="O30" s="14">
        <v>0.45300000000000001</v>
      </c>
      <c r="P30" s="12">
        <f t="shared" si="2"/>
        <v>407311.25827814569</v>
      </c>
      <c r="Q30" s="15">
        <f t="shared" si="3"/>
        <v>9.3505798502788267</v>
      </c>
      <c r="R30" s="15">
        <f t="shared" si="4"/>
        <v>5.9999959458117189</v>
      </c>
      <c r="S30" s="10" t="s">
        <v>24</v>
      </c>
    </row>
    <row r="31" spans="1:19" x14ac:dyDescent="0.25">
      <c r="A31" s="10" t="s">
        <v>1007</v>
      </c>
      <c r="B31" s="10" t="s">
        <v>1008</v>
      </c>
      <c r="C31" s="10" t="s">
        <v>968</v>
      </c>
      <c r="D31" s="11">
        <v>45740</v>
      </c>
      <c r="E31" s="12">
        <v>447500</v>
      </c>
      <c r="F31" s="10" t="s">
        <v>22</v>
      </c>
      <c r="G31" s="10" t="s">
        <v>23</v>
      </c>
      <c r="H31" s="12">
        <v>447500</v>
      </c>
      <c r="I31" s="12">
        <v>203000</v>
      </c>
      <c r="J31" s="13">
        <f t="shared" si="0"/>
        <v>45.363128491620117</v>
      </c>
      <c r="K31" s="12">
        <v>405998</v>
      </c>
      <c r="L31" s="12">
        <f>H31-299886</f>
        <v>147614</v>
      </c>
      <c r="M31" s="12">
        <v>106112</v>
      </c>
      <c r="N31" s="12">
        <f t="shared" si="1"/>
        <v>89500</v>
      </c>
      <c r="O31" s="14">
        <v>0.40600000000000003</v>
      </c>
      <c r="P31" s="12">
        <f t="shared" si="2"/>
        <v>363581.28078817733</v>
      </c>
      <c r="Q31" s="15">
        <f t="shared" si="3"/>
        <v>8.3466777040444757</v>
      </c>
      <c r="R31" s="15">
        <f t="shared" si="4"/>
        <v>5.999990952969009</v>
      </c>
      <c r="S31" s="10" t="s">
        <v>24</v>
      </c>
    </row>
    <row r="32" spans="1:19" x14ac:dyDescent="0.25">
      <c r="A32" s="10" t="s">
        <v>1009</v>
      </c>
      <c r="B32" s="10" t="s">
        <v>1010</v>
      </c>
      <c r="C32" s="10" t="s">
        <v>968</v>
      </c>
      <c r="D32" s="11">
        <v>45224</v>
      </c>
      <c r="E32" s="12">
        <v>442500</v>
      </c>
      <c r="F32" s="10" t="s">
        <v>22</v>
      </c>
      <c r="G32" s="10" t="s">
        <v>23</v>
      </c>
      <c r="H32" s="12">
        <v>442500</v>
      </c>
      <c r="I32" s="12">
        <v>217880</v>
      </c>
      <c r="J32" s="13">
        <f t="shared" si="0"/>
        <v>49.23841807909605</v>
      </c>
      <c r="K32" s="12">
        <v>435754</v>
      </c>
      <c r="L32" s="12">
        <f>H32-301284</f>
        <v>141216</v>
      </c>
      <c r="M32" s="12">
        <v>134470</v>
      </c>
      <c r="N32" s="12">
        <f t="shared" si="1"/>
        <v>88500</v>
      </c>
      <c r="O32" s="14">
        <v>0.55800000000000005</v>
      </c>
      <c r="P32" s="12">
        <f t="shared" si="2"/>
        <v>253075.26881720428</v>
      </c>
      <c r="Q32" s="15">
        <f t="shared" si="3"/>
        <v>5.8098087423600617</v>
      </c>
      <c r="R32" s="15">
        <f t="shared" si="4"/>
        <v>5.5322695840779899</v>
      </c>
      <c r="S32" s="10" t="s">
        <v>24</v>
      </c>
    </row>
    <row r="33" spans="1:19" x14ac:dyDescent="0.25">
      <c r="A33" s="10" t="s">
        <v>1011</v>
      </c>
      <c r="B33" s="10" t="s">
        <v>1012</v>
      </c>
      <c r="C33" s="10" t="s">
        <v>968</v>
      </c>
      <c r="D33" s="11">
        <v>45569</v>
      </c>
      <c r="E33" s="12">
        <v>450000</v>
      </c>
      <c r="F33" s="10" t="s">
        <v>22</v>
      </c>
      <c r="G33" s="10" t="s">
        <v>23</v>
      </c>
      <c r="H33" s="12">
        <v>450000</v>
      </c>
      <c r="I33" s="12">
        <v>163620</v>
      </c>
      <c r="J33" s="13">
        <f t="shared" si="0"/>
        <v>36.36</v>
      </c>
      <c r="K33" s="12">
        <v>327230</v>
      </c>
      <c r="L33" s="12">
        <f>H33-242706</f>
        <v>207294</v>
      </c>
      <c r="M33" s="12">
        <v>84524</v>
      </c>
      <c r="N33" s="12">
        <f t="shared" si="1"/>
        <v>90000</v>
      </c>
      <c r="O33" s="14">
        <v>0.46200000000000002</v>
      </c>
      <c r="P33" s="12">
        <f t="shared" si="2"/>
        <v>448688.31168831169</v>
      </c>
      <c r="Q33" s="15">
        <f t="shared" si="3"/>
        <v>10.300466292201829</v>
      </c>
      <c r="R33" s="15">
        <f t="shared" si="4"/>
        <v>4.2000087454632906</v>
      </c>
      <c r="S33" s="10" t="s">
        <v>24</v>
      </c>
    </row>
    <row r="34" spans="1:19" x14ac:dyDescent="0.25">
      <c r="A34" s="10" t="s">
        <v>1013</v>
      </c>
      <c r="B34" s="10" t="s">
        <v>1014</v>
      </c>
      <c r="C34" s="10" t="s">
        <v>968</v>
      </c>
      <c r="D34" s="11">
        <v>45325</v>
      </c>
      <c r="E34" s="12">
        <v>620000</v>
      </c>
      <c r="F34" s="10" t="s">
        <v>29</v>
      </c>
      <c r="G34" s="10" t="s">
        <v>23</v>
      </c>
      <c r="H34" s="12">
        <v>620000</v>
      </c>
      <c r="I34" s="12">
        <v>249510</v>
      </c>
      <c r="J34" s="13">
        <f t="shared" si="0"/>
        <v>40.243548387096773</v>
      </c>
      <c r="K34" s="12">
        <v>499012</v>
      </c>
      <c r="L34" s="12">
        <f>H34-399172</f>
        <v>220828</v>
      </c>
      <c r="M34" s="12">
        <v>99840</v>
      </c>
      <c r="N34" s="12">
        <f t="shared" si="1"/>
        <v>124000</v>
      </c>
      <c r="O34" s="14">
        <v>0.38200000000000001</v>
      </c>
      <c r="P34" s="12">
        <f t="shared" si="2"/>
        <v>578083.76963350782</v>
      </c>
      <c r="Q34" s="15">
        <f t="shared" si="3"/>
        <v>13.270977264313769</v>
      </c>
      <c r="R34" s="15">
        <f t="shared" si="4"/>
        <v>6.0000288462925306</v>
      </c>
      <c r="S34" s="10" t="s">
        <v>24</v>
      </c>
    </row>
    <row r="35" spans="1:19" x14ac:dyDescent="0.25">
      <c r="A35" s="10" t="s">
        <v>1015</v>
      </c>
      <c r="B35" s="10" t="s">
        <v>1016</v>
      </c>
      <c r="C35" s="10" t="s">
        <v>968</v>
      </c>
      <c r="D35" s="11">
        <v>45534</v>
      </c>
      <c r="E35" s="12">
        <v>459000</v>
      </c>
      <c r="F35" s="10" t="s">
        <v>29</v>
      </c>
      <c r="G35" s="10" t="s">
        <v>23</v>
      </c>
      <c r="H35" s="12">
        <v>459000</v>
      </c>
      <c r="I35" s="12">
        <v>187320</v>
      </c>
      <c r="J35" s="13">
        <f t="shared" si="0"/>
        <v>40.810457516339874</v>
      </c>
      <c r="K35" s="12">
        <v>374637</v>
      </c>
      <c r="L35" s="12">
        <f>H35-279502</f>
        <v>179498</v>
      </c>
      <c r="M35" s="12">
        <v>95135</v>
      </c>
      <c r="N35" s="12">
        <f t="shared" si="1"/>
        <v>91800</v>
      </c>
      <c r="O35" s="14">
        <v>0.36399999999999999</v>
      </c>
      <c r="P35" s="12">
        <f t="shared" si="2"/>
        <v>493126.37362637365</v>
      </c>
      <c r="Q35" s="15">
        <f t="shared" si="3"/>
        <v>11.320623820623821</v>
      </c>
      <c r="R35" s="15">
        <f t="shared" si="4"/>
        <v>5.9999974772702043</v>
      </c>
      <c r="S35" s="10" t="s">
        <v>24</v>
      </c>
    </row>
    <row r="36" spans="1:19" x14ac:dyDescent="0.25">
      <c r="A36" s="10" t="s">
        <v>1017</v>
      </c>
      <c r="B36" s="10" t="s">
        <v>1018</v>
      </c>
      <c r="C36" s="10" t="s">
        <v>968</v>
      </c>
      <c r="D36" s="11">
        <v>45468</v>
      </c>
      <c r="E36" s="12">
        <v>405000</v>
      </c>
      <c r="F36" s="10" t="s">
        <v>22</v>
      </c>
      <c r="G36" s="10" t="s">
        <v>23</v>
      </c>
      <c r="H36" s="12">
        <v>405000</v>
      </c>
      <c r="I36" s="12">
        <v>183000</v>
      </c>
      <c r="J36" s="13">
        <f t="shared" si="0"/>
        <v>45.185185185185183</v>
      </c>
      <c r="K36" s="12">
        <v>366009</v>
      </c>
      <c r="L36" s="12">
        <f>H36-259374</f>
        <v>145626</v>
      </c>
      <c r="M36" s="12">
        <v>106635</v>
      </c>
      <c r="N36" s="12">
        <f t="shared" si="1"/>
        <v>81000</v>
      </c>
      <c r="O36" s="14">
        <v>0.40799999999999997</v>
      </c>
      <c r="P36" s="12">
        <f t="shared" si="2"/>
        <v>356926.4705882353</v>
      </c>
      <c r="Q36" s="15">
        <f t="shared" si="3"/>
        <v>8.1939042834764759</v>
      </c>
      <c r="R36" s="15">
        <f t="shared" si="4"/>
        <v>6.0000067520120997</v>
      </c>
      <c r="S36" s="10" t="s">
        <v>24</v>
      </c>
    </row>
    <row r="37" spans="1:19" ht="15.75" thickBot="1" x14ac:dyDescent="0.3">
      <c r="A37" s="16"/>
      <c r="B37" s="16"/>
      <c r="C37" s="16"/>
      <c r="D37" s="17"/>
      <c r="E37" s="18"/>
      <c r="F37" s="16"/>
      <c r="G37" s="16"/>
      <c r="H37" s="18"/>
      <c r="I37" s="18"/>
      <c r="J37" s="19"/>
      <c r="K37" s="18"/>
      <c r="L37" s="18">
        <f>AVERAGE(L9:L36)</f>
        <v>134327.89285714287</v>
      </c>
      <c r="M37" s="18">
        <f>AVERAGE(M9:M36)</f>
        <v>89074.821428571435</v>
      </c>
      <c r="N37" s="18">
        <f>AVERAGE(N9:N36)</f>
        <v>81954.642857142855</v>
      </c>
      <c r="O37" s="20"/>
      <c r="P37" s="18"/>
      <c r="Q37" s="21">
        <f>AVERAGE(Q9:Q36)</f>
        <v>8.7319263465065777</v>
      </c>
      <c r="R37" s="21">
        <f>AVERAGE(R9:R36)</f>
        <v>5.7582989264640165</v>
      </c>
      <c r="S37" s="16"/>
    </row>
    <row r="38" spans="1:19" ht="15.75" thickTop="1" x14ac:dyDescent="0.25">
      <c r="A38" s="10"/>
      <c r="B38" s="10"/>
      <c r="C38" s="10"/>
      <c r="D38" s="11"/>
      <c r="E38" s="12"/>
      <c r="F38" s="10"/>
      <c r="G38" s="10"/>
      <c r="H38" s="12"/>
      <c r="I38" s="12"/>
      <c r="J38" s="13"/>
      <c r="K38" s="12"/>
      <c r="L38" s="12"/>
      <c r="M38" s="12"/>
      <c r="N38" s="12"/>
      <c r="O38" s="14"/>
      <c r="P38" s="12"/>
      <c r="Q38" s="15"/>
      <c r="R38" s="15"/>
      <c r="S38" s="10"/>
    </row>
    <row r="39" spans="1:19" x14ac:dyDescent="0.25">
      <c r="A39" s="10"/>
      <c r="B39" s="10"/>
      <c r="C39" s="10"/>
      <c r="D39" s="11"/>
      <c r="E39" s="12"/>
      <c r="F39" s="10"/>
      <c r="G39" s="10"/>
      <c r="H39" s="12"/>
      <c r="I39" s="12"/>
      <c r="J39" s="13"/>
      <c r="K39" s="12"/>
      <c r="L39" s="12"/>
      <c r="M39" s="12"/>
      <c r="N39" s="12"/>
      <c r="O39" s="14"/>
      <c r="P39" s="12"/>
      <c r="Q39" s="15"/>
      <c r="R39" s="15"/>
      <c r="S39" s="10"/>
    </row>
    <row r="40" spans="1:19" x14ac:dyDescent="0.25">
      <c r="A40" s="10" t="s">
        <v>1019</v>
      </c>
      <c r="B40" s="10" t="s">
        <v>1020</v>
      </c>
      <c r="C40" s="10" t="s">
        <v>1021</v>
      </c>
      <c r="D40" s="11">
        <v>45079</v>
      </c>
      <c r="E40" s="12">
        <v>200000</v>
      </c>
      <c r="F40" s="10" t="s">
        <v>29</v>
      </c>
      <c r="G40" s="10" t="s">
        <v>23</v>
      </c>
      <c r="H40" s="12">
        <v>200000</v>
      </c>
      <c r="I40" s="12">
        <v>86970</v>
      </c>
      <c r="J40" s="13">
        <f t="shared" ref="J40:J56" si="5">I40/H40*100</f>
        <v>43.484999999999999</v>
      </c>
      <c r="K40" s="12">
        <v>173936</v>
      </c>
      <c r="L40" s="12">
        <f>H40-128936</f>
        <v>71064</v>
      </c>
      <c r="M40" s="12">
        <v>45000</v>
      </c>
      <c r="N40" s="12">
        <f t="shared" ref="N40:N56" si="6">E40*0.2</f>
        <v>40000</v>
      </c>
      <c r="O40" s="14">
        <v>1</v>
      </c>
      <c r="P40" s="12">
        <f t="shared" ref="P40:P56" si="7">L40/O40</f>
        <v>71064</v>
      </c>
      <c r="Q40" s="15">
        <f t="shared" ref="Q40:Q56" si="8">L40/O40/43560</f>
        <v>1.631404958677686</v>
      </c>
      <c r="R40" s="15">
        <f t="shared" ref="R40:R56" si="9">M40/O40/43560</f>
        <v>1.0330578512396693</v>
      </c>
      <c r="S40" s="10" t="s">
        <v>97</v>
      </c>
    </row>
    <row r="41" spans="1:19" x14ac:dyDescent="0.25">
      <c r="A41" s="10" t="s">
        <v>1022</v>
      </c>
      <c r="B41" s="10" t="s">
        <v>1023</v>
      </c>
      <c r="C41" s="10" t="s">
        <v>1021</v>
      </c>
      <c r="D41" s="11">
        <v>45583</v>
      </c>
      <c r="E41" s="12">
        <v>203000</v>
      </c>
      <c r="F41" s="10" t="s">
        <v>22</v>
      </c>
      <c r="G41" s="10" t="s">
        <v>23</v>
      </c>
      <c r="H41" s="12">
        <v>203000</v>
      </c>
      <c r="I41" s="12">
        <v>86410</v>
      </c>
      <c r="J41" s="13">
        <f t="shared" si="5"/>
        <v>42.566502463054192</v>
      </c>
      <c r="K41" s="12">
        <v>172811</v>
      </c>
      <c r="L41" s="12">
        <f>H41-127811</f>
        <v>75189</v>
      </c>
      <c r="M41" s="12">
        <v>45000</v>
      </c>
      <c r="N41" s="12">
        <f t="shared" si="6"/>
        <v>40600</v>
      </c>
      <c r="O41" s="14">
        <v>1</v>
      </c>
      <c r="P41" s="12">
        <f t="shared" si="7"/>
        <v>75189</v>
      </c>
      <c r="Q41" s="15">
        <f t="shared" si="8"/>
        <v>1.7261019283746557</v>
      </c>
      <c r="R41" s="15">
        <f t="shared" si="9"/>
        <v>1.0330578512396693</v>
      </c>
      <c r="S41" s="10" t="s">
        <v>97</v>
      </c>
    </row>
    <row r="42" spans="1:19" x14ac:dyDescent="0.25">
      <c r="A42" s="10" t="s">
        <v>1024</v>
      </c>
      <c r="B42" s="10" t="s">
        <v>1025</v>
      </c>
      <c r="C42" s="10" t="s">
        <v>1021</v>
      </c>
      <c r="D42" s="11">
        <v>45621</v>
      </c>
      <c r="E42" s="12">
        <v>170000</v>
      </c>
      <c r="F42" s="10" t="s">
        <v>22</v>
      </c>
      <c r="G42" s="10" t="s">
        <v>23</v>
      </c>
      <c r="H42" s="12">
        <v>170000</v>
      </c>
      <c r="I42" s="12">
        <v>93720</v>
      </c>
      <c r="J42" s="13">
        <f t="shared" si="5"/>
        <v>55.129411764705885</v>
      </c>
      <c r="K42" s="12">
        <v>187444</v>
      </c>
      <c r="L42" s="12">
        <f>H42-142444</f>
        <v>27556</v>
      </c>
      <c r="M42" s="12">
        <v>45000</v>
      </c>
      <c r="N42" s="12">
        <f t="shared" si="6"/>
        <v>34000</v>
      </c>
      <c r="O42" s="14">
        <v>1</v>
      </c>
      <c r="P42" s="12">
        <f t="shared" si="7"/>
        <v>27556</v>
      </c>
      <c r="Q42" s="15">
        <f t="shared" si="8"/>
        <v>0.63259871441689619</v>
      </c>
      <c r="R42" s="15">
        <f t="shared" si="9"/>
        <v>1.0330578512396693</v>
      </c>
      <c r="S42" s="10" t="s">
        <v>97</v>
      </c>
    </row>
    <row r="43" spans="1:19" x14ac:dyDescent="0.25">
      <c r="A43" s="10" t="s">
        <v>1026</v>
      </c>
      <c r="B43" s="10" t="s">
        <v>1027</v>
      </c>
      <c r="C43" s="10" t="s">
        <v>1021</v>
      </c>
      <c r="D43" s="11">
        <v>45113</v>
      </c>
      <c r="E43" s="12">
        <v>165100</v>
      </c>
      <c r="F43" s="10" t="s">
        <v>22</v>
      </c>
      <c r="G43" s="10" t="s">
        <v>23</v>
      </c>
      <c r="H43" s="12">
        <v>165100</v>
      </c>
      <c r="I43" s="12">
        <v>92520</v>
      </c>
      <c r="J43" s="13">
        <f t="shared" si="5"/>
        <v>56.038764385221072</v>
      </c>
      <c r="K43" s="12">
        <v>185043</v>
      </c>
      <c r="L43" s="12">
        <f>H43-140043</f>
        <v>25057</v>
      </c>
      <c r="M43" s="12">
        <v>45000</v>
      </c>
      <c r="N43" s="12">
        <f t="shared" si="6"/>
        <v>33020</v>
      </c>
      <c r="O43" s="14">
        <v>1</v>
      </c>
      <c r="P43" s="12">
        <f t="shared" si="7"/>
        <v>25057</v>
      </c>
      <c r="Q43" s="15">
        <f t="shared" si="8"/>
        <v>0.57522956841138662</v>
      </c>
      <c r="R43" s="15">
        <f t="shared" si="9"/>
        <v>1.0330578512396693</v>
      </c>
      <c r="S43" s="10" t="s">
        <v>97</v>
      </c>
    </row>
    <row r="44" spans="1:19" x14ac:dyDescent="0.25">
      <c r="A44" s="10" t="s">
        <v>1028</v>
      </c>
      <c r="B44" s="10" t="s">
        <v>1029</v>
      </c>
      <c r="C44" s="10" t="s">
        <v>1021</v>
      </c>
      <c r="D44" s="11">
        <v>45463</v>
      </c>
      <c r="E44" s="12">
        <v>174500</v>
      </c>
      <c r="F44" s="10" t="s">
        <v>29</v>
      </c>
      <c r="G44" s="10" t="s">
        <v>23</v>
      </c>
      <c r="H44" s="12">
        <v>174500</v>
      </c>
      <c r="I44" s="12">
        <v>93710</v>
      </c>
      <c r="J44" s="13">
        <f t="shared" si="5"/>
        <v>53.702005730659032</v>
      </c>
      <c r="K44" s="12">
        <v>187428</v>
      </c>
      <c r="L44" s="12">
        <f>H44-142428</f>
        <v>32072</v>
      </c>
      <c r="M44" s="12">
        <v>45000</v>
      </c>
      <c r="N44" s="12">
        <f t="shared" si="6"/>
        <v>34900</v>
      </c>
      <c r="O44" s="14">
        <v>1</v>
      </c>
      <c r="P44" s="12">
        <f t="shared" si="7"/>
        <v>32072</v>
      </c>
      <c r="Q44" s="15">
        <f t="shared" si="8"/>
        <v>0.73627180899908173</v>
      </c>
      <c r="R44" s="15">
        <f t="shared" si="9"/>
        <v>1.0330578512396693</v>
      </c>
      <c r="S44" s="10" t="s">
        <v>97</v>
      </c>
    </row>
    <row r="45" spans="1:19" x14ac:dyDescent="0.25">
      <c r="A45" s="10" t="s">
        <v>1030</v>
      </c>
      <c r="B45" s="10" t="s">
        <v>1031</v>
      </c>
      <c r="C45" s="10" t="s">
        <v>1021</v>
      </c>
      <c r="D45" s="11">
        <v>45184</v>
      </c>
      <c r="E45" s="12">
        <v>190000</v>
      </c>
      <c r="F45" s="10" t="s">
        <v>22</v>
      </c>
      <c r="G45" s="10" t="s">
        <v>23</v>
      </c>
      <c r="H45" s="12">
        <v>190000</v>
      </c>
      <c r="I45" s="12">
        <v>105590</v>
      </c>
      <c r="J45" s="13">
        <f t="shared" si="5"/>
        <v>55.573684210526316</v>
      </c>
      <c r="K45" s="12">
        <v>211175</v>
      </c>
      <c r="L45" s="12">
        <f>H45-166175</f>
        <v>23825</v>
      </c>
      <c r="M45" s="12">
        <v>45000</v>
      </c>
      <c r="N45" s="12">
        <f t="shared" si="6"/>
        <v>38000</v>
      </c>
      <c r="O45" s="14">
        <v>1</v>
      </c>
      <c r="P45" s="12">
        <f t="shared" si="7"/>
        <v>23825</v>
      </c>
      <c r="Q45" s="15">
        <f t="shared" si="8"/>
        <v>0.54694674012855826</v>
      </c>
      <c r="R45" s="15">
        <f t="shared" si="9"/>
        <v>1.0330578512396693</v>
      </c>
      <c r="S45" s="10" t="s">
        <v>97</v>
      </c>
    </row>
    <row r="46" spans="1:19" x14ac:dyDescent="0.25">
      <c r="A46" s="10" t="s">
        <v>1032</v>
      </c>
      <c r="B46" s="10" t="s">
        <v>1033</v>
      </c>
      <c r="C46" s="10" t="s">
        <v>1021</v>
      </c>
      <c r="D46" s="11">
        <v>45435</v>
      </c>
      <c r="E46" s="12">
        <v>180000</v>
      </c>
      <c r="F46" s="10" t="s">
        <v>22</v>
      </c>
      <c r="G46" s="10" t="s">
        <v>23</v>
      </c>
      <c r="H46" s="12">
        <v>180000</v>
      </c>
      <c r="I46" s="12">
        <v>108560</v>
      </c>
      <c r="J46" s="13">
        <f t="shared" si="5"/>
        <v>60.311111111111117</v>
      </c>
      <c r="K46" s="12">
        <v>217126</v>
      </c>
      <c r="L46" s="12">
        <f>H46-172126</f>
        <v>7874</v>
      </c>
      <c r="M46" s="12">
        <v>45000</v>
      </c>
      <c r="N46" s="12">
        <f t="shared" si="6"/>
        <v>36000</v>
      </c>
      <c r="O46" s="14">
        <v>1</v>
      </c>
      <c r="P46" s="12">
        <f t="shared" si="7"/>
        <v>7874</v>
      </c>
      <c r="Q46" s="15">
        <f t="shared" si="8"/>
        <v>0.18076216712580348</v>
      </c>
      <c r="R46" s="15">
        <f t="shared" si="9"/>
        <v>1.0330578512396693</v>
      </c>
      <c r="S46" s="10" t="s">
        <v>97</v>
      </c>
    </row>
    <row r="47" spans="1:19" x14ac:dyDescent="0.25">
      <c r="A47" s="10" t="s">
        <v>1034</v>
      </c>
      <c r="B47" s="10" t="s">
        <v>1035</v>
      </c>
      <c r="C47" s="10" t="s">
        <v>1021</v>
      </c>
      <c r="D47" s="11">
        <v>45602</v>
      </c>
      <c r="E47" s="12">
        <v>242000</v>
      </c>
      <c r="F47" s="10" t="s">
        <v>22</v>
      </c>
      <c r="G47" s="10" t="s">
        <v>23</v>
      </c>
      <c r="H47" s="12">
        <v>242000</v>
      </c>
      <c r="I47" s="12">
        <v>107390</v>
      </c>
      <c r="J47" s="13">
        <f t="shared" si="5"/>
        <v>44.376033057851238</v>
      </c>
      <c r="K47" s="12">
        <v>214775</v>
      </c>
      <c r="L47" s="12">
        <f>H47-169775</f>
        <v>72225</v>
      </c>
      <c r="M47" s="12">
        <v>45000</v>
      </c>
      <c r="N47" s="12">
        <f t="shared" si="6"/>
        <v>48400</v>
      </c>
      <c r="O47" s="14">
        <v>1</v>
      </c>
      <c r="P47" s="12">
        <f t="shared" si="7"/>
        <v>72225</v>
      </c>
      <c r="Q47" s="15">
        <f t="shared" si="8"/>
        <v>1.6580578512396693</v>
      </c>
      <c r="R47" s="15">
        <f t="shared" si="9"/>
        <v>1.0330578512396693</v>
      </c>
      <c r="S47" s="10" t="s">
        <v>97</v>
      </c>
    </row>
    <row r="48" spans="1:19" x14ac:dyDescent="0.25">
      <c r="A48" s="10" t="s">
        <v>1036</v>
      </c>
      <c r="B48" s="10" t="s">
        <v>1037</v>
      </c>
      <c r="C48" s="10" t="s">
        <v>1021</v>
      </c>
      <c r="D48" s="11">
        <v>45429</v>
      </c>
      <c r="E48" s="12">
        <v>228000</v>
      </c>
      <c r="F48" s="10" t="s">
        <v>29</v>
      </c>
      <c r="G48" s="10" t="s">
        <v>23</v>
      </c>
      <c r="H48" s="12">
        <v>228000</v>
      </c>
      <c r="I48" s="12">
        <v>99100</v>
      </c>
      <c r="J48" s="13">
        <f t="shared" si="5"/>
        <v>43.464912280701753</v>
      </c>
      <c r="K48" s="12">
        <v>198191</v>
      </c>
      <c r="L48" s="12">
        <f>H48-153191</f>
        <v>74809</v>
      </c>
      <c r="M48" s="12">
        <v>45000</v>
      </c>
      <c r="N48" s="12">
        <f t="shared" si="6"/>
        <v>45600</v>
      </c>
      <c r="O48" s="14">
        <v>1</v>
      </c>
      <c r="P48" s="12">
        <f t="shared" si="7"/>
        <v>74809</v>
      </c>
      <c r="Q48" s="15">
        <f t="shared" si="8"/>
        <v>1.7173783287419651</v>
      </c>
      <c r="R48" s="15">
        <f t="shared" si="9"/>
        <v>1.0330578512396693</v>
      </c>
      <c r="S48" s="10" t="s">
        <v>97</v>
      </c>
    </row>
    <row r="49" spans="1:19" x14ac:dyDescent="0.25">
      <c r="A49" s="10" t="s">
        <v>1038</v>
      </c>
      <c r="B49" s="10" t="s">
        <v>1039</v>
      </c>
      <c r="C49" s="10" t="s">
        <v>1021</v>
      </c>
      <c r="D49" s="11">
        <v>45499</v>
      </c>
      <c r="E49" s="12">
        <v>220000</v>
      </c>
      <c r="F49" s="10" t="s">
        <v>22</v>
      </c>
      <c r="G49" s="10" t="s">
        <v>23</v>
      </c>
      <c r="H49" s="12">
        <v>220000</v>
      </c>
      <c r="I49" s="12">
        <v>105860</v>
      </c>
      <c r="J49" s="13">
        <f t="shared" si="5"/>
        <v>48.118181818181817</v>
      </c>
      <c r="K49" s="12">
        <v>211727</v>
      </c>
      <c r="L49" s="12">
        <f>H49-166727</f>
        <v>53273</v>
      </c>
      <c r="M49" s="12">
        <v>45000</v>
      </c>
      <c r="N49" s="12">
        <f t="shared" si="6"/>
        <v>44000</v>
      </c>
      <c r="O49" s="14">
        <v>1</v>
      </c>
      <c r="P49" s="12">
        <f t="shared" si="7"/>
        <v>53273</v>
      </c>
      <c r="Q49" s="15">
        <f t="shared" si="8"/>
        <v>1.2229797979797981</v>
      </c>
      <c r="R49" s="15">
        <f t="shared" si="9"/>
        <v>1.0330578512396693</v>
      </c>
      <c r="S49" s="10" t="s">
        <v>97</v>
      </c>
    </row>
    <row r="50" spans="1:19" x14ac:dyDescent="0.25">
      <c r="A50" s="10" t="s">
        <v>1040</v>
      </c>
      <c r="B50" s="10" t="s">
        <v>1041</v>
      </c>
      <c r="C50" s="10" t="s">
        <v>1021</v>
      </c>
      <c r="D50" s="11">
        <v>45260</v>
      </c>
      <c r="E50" s="12">
        <v>230000</v>
      </c>
      <c r="F50" s="10" t="s">
        <v>29</v>
      </c>
      <c r="G50" s="10" t="s">
        <v>23</v>
      </c>
      <c r="H50" s="12">
        <v>230000</v>
      </c>
      <c r="I50" s="12">
        <v>98270</v>
      </c>
      <c r="J50" s="13">
        <f t="shared" si="5"/>
        <v>42.72608695652174</v>
      </c>
      <c r="K50" s="12">
        <v>196530</v>
      </c>
      <c r="L50" s="12">
        <f>H50-151530</f>
        <v>78470</v>
      </c>
      <c r="M50" s="12">
        <v>45000</v>
      </c>
      <c r="N50" s="12">
        <f t="shared" si="6"/>
        <v>46000</v>
      </c>
      <c r="O50" s="14">
        <v>1</v>
      </c>
      <c r="P50" s="12">
        <f t="shared" si="7"/>
        <v>78470</v>
      </c>
      <c r="Q50" s="15">
        <f t="shared" si="8"/>
        <v>1.8014233241505968</v>
      </c>
      <c r="R50" s="15">
        <f t="shared" si="9"/>
        <v>1.0330578512396693</v>
      </c>
      <c r="S50" s="10" t="s">
        <v>97</v>
      </c>
    </row>
    <row r="51" spans="1:19" x14ac:dyDescent="0.25">
      <c r="A51" s="10" t="s">
        <v>1042</v>
      </c>
      <c r="B51" s="10" t="s">
        <v>1043</v>
      </c>
      <c r="C51" s="10" t="s">
        <v>1021</v>
      </c>
      <c r="D51" s="11">
        <v>45404</v>
      </c>
      <c r="E51" s="12">
        <v>167500</v>
      </c>
      <c r="F51" s="10" t="s">
        <v>22</v>
      </c>
      <c r="G51" s="10" t="s">
        <v>23</v>
      </c>
      <c r="H51" s="12">
        <v>167500</v>
      </c>
      <c r="I51" s="12">
        <v>107460</v>
      </c>
      <c r="J51" s="13">
        <f t="shared" si="5"/>
        <v>64.155223880597006</v>
      </c>
      <c r="K51" s="12">
        <v>214927</v>
      </c>
      <c r="L51" s="12">
        <f>H51-169927</f>
        <v>-2427</v>
      </c>
      <c r="M51" s="12">
        <v>45000</v>
      </c>
      <c r="N51" s="12">
        <f t="shared" si="6"/>
        <v>33500</v>
      </c>
      <c r="O51" s="14">
        <v>1</v>
      </c>
      <c r="P51" s="12">
        <f t="shared" si="7"/>
        <v>-2427</v>
      </c>
      <c r="Q51" s="15">
        <f t="shared" si="8"/>
        <v>-5.5716253443526167E-2</v>
      </c>
      <c r="R51" s="15">
        <f t="shared" si="9"/>
        <v>1.0330578512396693</v>
      </c>
      <c r="S51" s="10" t="s">
        <v>97</v>
      </c>
    </row>
    <row r="52" spans="1:19" x14ac:dyDescent="0.25">
      <c r="A52" s="10" t="s">
        <v>1042</v>
      </c>
      <c r="B52" s="10" t="s">
        <v>1043</v>
      </c>
      <c r="C52" s="10" t="s">
        <v>1021</v>
      </c>
      <c r="D52" s="11">
        <v>45503</v>
      </c>
      <c r="E52" s="12">
        <v>247000</v>
      </c>
      <c r="F52" s="10" t="s">
        <v>22</v>
      </c>
      <c r="G52" s="10" t="s">
        <v>23</v>
      </c>
      <c r="H52" s="12">
        <v>247000</v>
      </c>
      <c r="I52" s="12">
        <v>107460</v>
      </c>
      <c r="J52" s="13">
        <f t="shared" si="5"/>
        <v>43.506072874493931</v>
      </c>
      <c r="K52" s="12">
        <v>214927</v>
      </c>
      <c r="L52" s="12">
        <f>H52-169927</f>
        <v>77073</v>
      </c>
      <c r="M52" s="12">
        <v>45000</v>
      </c>
      <c r="N52" s="12">
        <f t="shared" si="6"/>
        <v>49400</v>
      </c>
      <c r="O52" s="14">
        <v>1</v>
      </c>
      <c r="P52" s="12">
        <f t="shared" si="7"/>
        <v>77073</v>
      </c>
      <c r="Q52" s="15">
        <f t="shared" si="8"/>
        <v>1.7693526170798899</v>
      </c>
      <c r="R52" s="15">
        <f t="shared" si="9"/>
        <v>1.0330578512396693</v>
      </c>
      <c r="S52" s="10" t="s">
        <v>97</v>
      </c>
    </row>
    <row r="53" spans="1:19" x14ac:dyDescent="0.25">
      <c r="A53" s="10" t="s">
        <v>1044</v>
      </c>
      <c r="B53" s="10" t="s">
        <v>1045</v>
      </c>
      <c r="C53" s="10" t="s">
        <v>1021</v>
      </c>
      <c r="D53" s="11">
        <v>45225</v>
      </c>
      <c r="E53" s="12">
        <v>220000</v>
      </c>
      <c r="F53" s="10" t="s">
        <v>22</v>
      </c>
      <c r="G53" s="10" t="s">
        <v>23</v>
      </c>
      <c r="H53" s="12">
        <v>220000</v>
      </c>
      <c r="I53" s="12">
        <v>105860</v>
      </c>
      <c r="J53" s="13">
        <f t="shared" si="5"/>
        <v>48.118181818181817</v>
      </c>
      <c r="K53" s="12">
        <v>211727</v>
      </c>
      <c r="L53" s="12">
        <f>H53-166727</f>
        <v>53273</v>
      </c>
      <c r="M53" s="12">
        <v>45000</v>
      </c>
      <c r="N53" s="12">
        <f t="shared" si="6"/>
        <v>44000</v>
      </c>
      <c r="O53" s="14">
        <v>1</v>
      </c>
      <c r="P53" s="12">
        <f t="shared" si="7"/>
        <v>53273</v>
      </c>
      <c r="Q53" s="15">
        <f t="shared" si="8"/>
        <v>1.2229797979797981</v>
      </c>
      <c r="R53" s="15">
        <f t="shared" si="9"/>
        <v>1.0330578512396693</v>
      </c>
      <c r="S53" s="10" t="s">
        <v>97</v>
      </c>
    </row>
    <row r="54" spans="1:19" x14ac:dyDescent="0.25">
      <c r="A54" s="10" t="s">
        <v>1046</v>
      </c>
      <c r="B54" s="10" t="s">
        <v>1047</v>
      </c>
      <c r="C54" s="10" t="s">
        <v>1021</v>
      </c>
      <c r="D54" s="11">
        <v>45271</v>
      </c>
      <c r="E54" s="12">
        <v>207900</v>
      </c>
      <c r="F54" s="10" t="s">
        <v>29</v>
      </c>
      <c r="G54" s="10" t="s">
        <v>23</v>
      </c>
      <c r="H54" s="12">
        <v>207900</v>
      </c>
      <c r="I54" s="12">
        <v>103060</v>
      </c>
      <c r="J54" s="13">
        <f t="shared" si="5"/>
        <v>49.571909571909572</v>
      </c>
      <c r="K54" s="12">
        <v>206129</v>
      </c>
      <c r="L54" s="12">
        <f>H54-161129</f>
        <v>46771</v>
      </c>
      <c r="M54" s="12">
        <v>45000</v>
      </c>
      <c r="N54" s="12">
        <f t="shared" si="6"/>
        <v>41580</v>
      </c>
      <c r="O54" s="14">
        <v>1</v>
      </c>
      <c r="P54" s="12">
        <f t="shared" si="7"/>
        <v>46771</v>
      </c>
      <c r="Q54" s="15">
        <f t="shared" si="8"/>
        <v>1.0737144168962351</v>
      </c>
      <c r="R54" s="15">
        <f t="shared" si="9"/>
        <v>1.0330578512396693</v>
      </c>
      <c r="S54" s="10" t="s">
        <v>97</v>
      </c>
    </row>
    <row r="55" spans="1:19" x14ac:dyDescent="0.25">
      <c r="A55" s="10" t="s">
        <v>1048</v>
      </c>
      <c r="B55" s="10" t="s">
        <v>1049</v>
      </c>
      <c r="C55" s="10" t="s">
        <v>1021</v>
      </c>
      <c r="D55" s="11">
        <v>45097</v>
      </c>
      <c r="E55" s="12">
        <v>255000</v>
      </c>
      <c r="F55" s="10" t="s">
        <v>22</v>
      </c>
      <c r="G55" s="10" t="s">
        <v>23</v>
      </c>
      <c r="H55" s="12">
        <v>255000</v>
      </c>
      <c r="I55" s="12">
        <v>109020</v>
      </c>
      <c r="J55" s="13">
        <f t="shared" si="5"/>
        <v>42.752941176470586</v>
      </c>
      <c r="K55" s="12">
        <v>218048</v>
      </c>
      <c r="L55" s="12">
        <f>H55-173048</f>
        <v>81952</v>
      </c>
      <c r="M55" s="12">
        <v>45000</v>
      </c>
      <c r="N55" s="12">
        <f t="shared" si="6"/>
        <v>51000</v>
      </c>
      <c r="O55" s="14">
        <v>1</v>
      </c>
      <c r="P55" s="12">
        <f t="shared" si="7"/>
        <v>81952</v>
      </c>
      <c r="Q55" s="15">
        <f t="shared" si="8"/>
        <v>1.8813590449954087</v>
      </c>
      <c r="R55" s="15">
        <f t="shared" si="9"/>
        <v>1.0330578512396693</v>
      </c>
      <c r="S55" s="10" t="s">
        <v>97</v>
      </c>
    </row>
    <row r="56" spans="1:19" x14ac:dyDescent="0.25">
      <c r="A56" s="10" t="s">
        <v>1050</v>
      </c>
      <c r="B56" s="10" t="s">
        <v>1051</v>
      </c>
      <c r="C56" s="10" t="s">
        <v>1021</v>
      </c>
      <c r="D56" s="11">
        <v>45281</v>
      </c>
      <c r="E56" s="12">
        <v>235000</v>
      </c>
      <c r="F56" s="10" t="s">
        <v>29</v>
      </c>
      <c r="G56" s="10" t="s">
        <v>23</v>
      </c>
      <c r="H56" s="12">
        <v>235000</v>
      </c>
      <c r="I56" s="12">
        <v>100180</v>
      </c>
      <c r="J56" s="13">
        <f t="shared" si="5"/>
        <v>42.629787234042553</v>
      </c>
      <c r="K56" s="12">
        <v>200361</v>
      </c>
      <c r="L56" s="12">
        <f>H56-155361</f>
        <v>79639</v>
      </c>
      <c r="M56" s="12">
        <v>45000</v>
      </c>
      <c r="N56" s="12">
        <f t="shared" si="6"/>
        <v>47000</v>
      </c>
      <c r="O56" s="14">
        <v>1</v>
      </c>
      <c r="P56" s="12">
        <f t="shared" si="7"/>
        <v>79639</v>
      </c>
      <c r="Q56" s="15">
        <f t="shared" si="8"/>
        <v>1.8282598714416896</v>
      </c>
      <c r="R56" s="15">
        <f t="shared" si="9"/>
        <v>1.0330578512396693</v>
      </c>
      <c r="S56" s="10" t="s">
        <v>97</v>
      </c>
    </row>
    <row r="57" spans="1:19" ht="15.75" thickBot="1" x14ac:dyDescent="0.3">
      <c r="A57" s="16"/>
      <c r="B57" s="16"/>
      <c r="C57" s="16"/>
      <c r="D57" s="17"/>
      <c r="E57" s="18"/>
      <c r="F57" s="16"/>
      <c r="G57" s="16"/>
      <c r="H57" s="18"/>
      <c r="I57" s="18"/>
      <c r="J57" s="19"/>
      <c r="K57" s="18"/>
      <c r="L57" s="18">
        <f>AVERAGE(L40:L56)</f>
        <v>51629.117647058825</v>
      </c>
      <c r="M57" s="18">
        <f>AVERAGE(M40:M56)</f>
        <v>45000</v>
      </c>
      <c r="N57" s="18">
        <f>AVERAGE(N40:N56)</f>
        <v>41588.23529411765</v>
      </c>
      <c r="O57" s="20"/>
      <c r="P57" s="18">
        <f>AVERAGE(P40:P56)</f>
        <v>51629.117647058825</v>
      </c>
      <c r="Q57" s="21">
        <f>AVERAGE(Q40:Q56)</f>
        <v>1.1852414519526822</v>
      </c>
      <c r="R57" s="21"/>
      <c r="S57" s="16"/>
    </row>
    <row r="58" spans="1:19" ht="15.75" thickTop="1" x14ac:dyDescent="0.25">
      <c r="A58" s="10"/>
      <c r="B58" s="10"/>
      <c r="C58" s="10"/>
      <c r="D58" s="11"/>
      <c r="E58" s="12"/>
      <c r="F58" s="10"/>
      <c r="G58" s="10"/>
      <c r="H58" s="12"/>
      <c r="I58" s="12"/>
      <c r="J58" s="13"/>
      <c r="K58" s="12"/>
      <c r="L58" s="12"/>
      <c r="M58" s="12"/>
      <c r="N58" s="12"/>
      <c r="O58" s="14"/>
      <c r="P58" s="12"/>
      <c r="Q58" s="15"/>
      <c r="R58" s="15"/>
      <c r="S58" s="10"/>
    </row>
    <row r="59" spans="1:19" x14ac:dyDescent="0.25">
      <c r="A59" s="10"/>
      <c r="B59" s="10"/>
      <c r="C59" s="10"/>
      <c r="D59" s="11"/>
      <c r="E59" s="12"/>
      <c r="F59" s="10"/>
      <c r="G59" s="10"/>
      <c r="H59" s="12"/>
      <c r="I59" s="12"/>
      <c r="J59" s="13"/>
      <c r="K59" s="12"/>
      <c r="L59" s="12"/>
      <c r="M59" s="12"/>
      <c r="N59" s="12"/>
      <c r="O59" s="14"/>
      <c r="P59" s="12"/>
      <c r="Q59" s="15"/>
      <c r="R59" s="15"/>
      <c r="S59" s="10"/>
    </row>
    <row r="60" spans="1:19" x14ac:dyDescent="0.25">
      <c r="A60" s="10" t="s">
        <v>1052</v>
      </c>
      <c r="B60" s="10" t="s">
        <v>1053</v>
      </c>
      <c r="C60" s="10" t="s">
        <v>1054</v>
      </c>
      <c r="D60" s="11">
        <v>45365</v>
      </c>
      <c r="E60" s="12">
        <v>120500</v>
      </c>
      <c r="F60" s="10" t="s">
        <v>29</v>
      </c>
      <c r="G60" s="10" t="s">
        <v>23</v>
      </c>
      <c r="H60" s="12">
        <v>120500</v>
      </c>
      <c r="I60" s="12">
        <v>55420</v>
      </c>
      <c r="J60" s="13">
        <f t="shared" ref="J60:J69" si="10">I60/H60*100</f>
        <v>45.991701244813278</v>
      </c>
      <c r="K60" s="12">
        <v>110834</v>
      </c>
      <c r="L60" s="12">
        <f>H60-80834</f>
        <v>39666</v>
      </c>
      <c r="M60" s="12">
        <v>30000</v>
      </c>
      <c r="N60" s="12">
        <f t="shared" ref="N60:N69" si="11">E60*0.2</f>
        <v>24100</v>
      </c>
      <c r="O60" s="14">
        <v>1</v>
      </c>
      <c r="P60" s="12">
        <f t="shared" ref="P60:P69" si="12">L60/O60</f>
        <v>39666</v>
      </c>
      <c r="Q60" s="15">
        <f t="shared" ref="Q60:Q69" si="13">L60/O60/43560</f>
        <v>0.91060606060606064</v>
      </c>
      <c r="R60" s="15">
        <f t="shared" ref="R60:R69" si="14">M60/O60/43560</f>
        <v>0.68870523415977958</v>
      </c>
      <c r="S60" s="10" t="s">
        <v>97</v>
      </c>
    </row>
    <row r="61" spans="1:19" x14ac:dyDescent="0.25">
      <c r="A61" s="10" t="s">
        <v>1055</v>
      </c>
      <c r="B61" s="10" t="s">
        <v>1056</v>
      </c>
      <c r="C61" s="10" t="s">
        <v>1054</v>
      </c>
      <c r="D61" s="11">
        <v>45224</v>
      </c>
      <c r="E61" s="12">
        <v>123000</v>
      </c>
      <c r="F61" s="10" t="s">
        <v>22</v>
      </c>
      <c r="G61" s="10" t="s">
        <v>23</v>
      </c>
      <c r="H61" s="12">
        <v>123000</v>
      </c>
      <c r="I61" s="12">
        <v>55420</v>
      </c>
      <c r="J61" s="13">
        <f t="shared" si="10"/>
        <v>45.056910569105689</v>
      </c>
      <c r="K61" s="12">
        <v>110834</v>
      </c>
      <c r="L61" s="12">
        <f>H61-80834</f>
        <v>42166</v>
      </c>
      <c r="M61" s="12">
        <v>30000</v>
      </c>
      <c r="N61" s="12">
        <f t="shared" si="11"/>
        <v>24600</v>
      </c>
      <c r="O61" s="14">
        <v>1</v>
      </c>
      <c r="P61" s="12">
        <f t="shared" si="12"/>
        <v>42166</v>
      </c>
      <c r="Q61" s="15">
        <f t="shared" si="13"/>
        <v>0.96799816345270895</v>
      </c>
      <c r="R61" s="15">
        <f t="shared" si="14"/>
        <v>0.68870523415977958</v>
      </c>
      <c r="S61" s="10" t="s">
        <v>97</v>
      </c>
    </row>
    <row r="62" spans="1:19" x14ac:dyDescent="0.25">
      <c r="A62" s="10" t="s">
        <v>1057</v>
      </c>
      <c r="B62" s="10" t="s">
        <v>1058</v>
      </c>
      <c r="C62" s="10" t="s">
        <v>1054</v>
      </c>
      <c r="D62" s="11">
        <v>45174</v>
      </c>
      <c r="E62" s="12">
        <v>125000</v>
      </c>
      <c r="F62" s="10" t="s">
        <v>29</v>
      </c>
      <c r="G62" s="10" t="s">
        <v>23</v>
      </c>
      <c r="H62" s="12">
        <v>125000</v>
      </c>
      <c r="I62" s="12">
        <v>55420</v>
      </c>
      <c r="J62" s="13">
        <f t="shared" si="10"/>
        <v>44.335999999999999</v>
      </c>
      <c r="K62" s="12">
        <v>110834</v>
      </c>
      <c r="L62" s="12">
        <f>H62-80834</f>
        <v>44166</v>
      </c>
      <c r="M62" s="12">
        <v>30000</v>
      </c>
      <c r="N62" s="12">
        <f t="shared" si="11"/>
        <v>25000</v>
      </c>
      <c r="O62" s="14">
        <v>1</v>
      </c>
      <c r="P62" s="12">
        <f t="shared" si="12"/>
        <v>44166</v>
      </c>
      <c r="Q62" s="15">
        <f t="shared" si="13"/>
        <v>1.0139118457300276</v>
      </c>
      <c r="R62" s="15">
        <f t="shared" si="14"/>
        <v>0.68870523415977958</v>
      </c>
      <c r="S62" s="10" t="s">
        <v>97</v>
      </c>
    </row>
    <row r="63" spans="1:19" x14ac:dyDescent="0.25">
      <c r="A63" s="10" t="s">
        <v>1059</v>
      </c>
      <c r="B63" s="10" t="s">
        <v>1060</v>
      </c>
      <c r="C63" s="10" t="s">
        <v>1054</v>
      </c>
      <c r="D63" s="11">
        <v>45380</v>
      </c>
      <c r="E63" s="12">
        <v>122000</v>
      </c>
      <c r="F63" s="10" t="s">
        <v>29</v>
      </c>
      <c r="G63" s="10" t="s">
        <v>23</v>
      </c>
      <c r="H63" s="12">
        <v>122000</v>
      </c>
      <c r="I63" s="12">
        <v>51990</v>
      </c>
      <c r="J63" s="13">
        <f t="shared" si="10"/>
        <v>42.614754098360656</v>
      </c>
      <c r="K63" s="12">
        <v>103970</v>
      </c>
      <c r="L63" s="12">
        <f>H63-73970</f>
        <v>48030</v>
      </c>
      <c r="M63" s="12">
        <v>30000</v>
      </c>
      <c r="N63" s="12">
        <f t="shared" si="11"/>
        <v>24400</v>
      </c>
      <c r="O63" s="14">
        <v>1</v>
      </c>
      <c r="P63" s="12">
        <f t="shared" si="12"/>
        <v>48030</v>
      </c>
      <c r="Q63" s="15">
        <f t="shared" si="13"/>
        <v>1.1026170798898072</v>
      </c>
      <c r="R63" s="15">
        <f t="shared" si="14"/>
        <v>0.68870523415977958</v>
      </c>
      <c r="S63" s="10" t="s">
        <v>97</v>
      </c>
    </row>
    <row r="64" spans="1:19" x14ac:dyDescent="0.25">
      <c r="A64" s="10" t="s">
        <v>1061</v>
      </c>
      <c r="B64" s="10" t="s">
        <v>1062</v>
      </c>
      <c r="C64" s="10" t="s">
        <v>1054</v>
      </c>
      <c r="D64" s="11">
        <v>45572</v>
      </c>
      <c r="E64" s="12">
        <v>114000</v>
      </c>
      <c r="F64" s="10" t="s">
        <v>29</v>
      </c>
      <c r="G64" s="10" t="s">
        <v>23</v>
      </c>
      <c r="H64" s="12">
        <v>114000</v>
      </c>
      <c r="I64" s="12">
        <v>51270</v>
      </c>
      <c r="J64" s="13">
        <f t="shared" si="10"/>
        <v>44.973684210526315</v>
      </c>
      <c r="K64" s="12">
        <v>102533</v>
      </c>
      <c r="L64" s="12">
        <f>H64-72533</f>
        <v>41467</v>
      </c>
      <c r="M64" s="12">
        <v>30000</v>
      </c>
      <c r="N64" s="12">
        <f t="shared" si="11"/>
        <v>22800</v>
      </c>
      <c r="O64" s="14">
        <v>1</v>
      </c>
      <c r="P64" s="12">
        <f t="shared" si="12"/>
        <v>41467</v>
      </c>
      <c r="Q64" s="15">
        <f t="shared" si="13"/>
        <v>0.95195133149678601</v>
      </c>
      <c r="R64" s="15">
        <f t="shared" si="14"/>
        <v>0.68870523415977958</v>
      </c>
      <c r="S64" s="10" t="s">
        <v>97</v>
      </c>
    </row>
    <row r="65" spans="1:19" x14ac:dyDescent="0.25">
      <c r="A65" s="10" t="s">
        <v>1063</v>
      </c>
      <c r="B65" s="10" t="s">
        <v>1064</v>
      </c>
      <c r="C65" s="10" t="s">
        <v>1054</v>
      </c>
      <c r="D65" s="11">
        <v>45139</v>
      </c>
      <c r="E65" s="12">
        <v>120000</v>
      </c>
      <c r="F65" s="10" t="s">
        <v>29</v>
      </c>
      <c r="G65" s="10" t="s">
        <v>23</v>
      </c>
      <c r="H65" s="12">
        <v>120000</v>
      </c>
      <c r="I65" s="12">
        <v>51320</v>
      </c>
      <c r="J65" s="13">
        <f t="shared" si="10"/>
        <v>42.766666666666666</v>
      </c>
      <c r="K65" s="12">
        <v>102636</v>
      </c>
      <c r="L65" s="12">
        <f>H65-72636</f>
        <v>47364</v>
      </c>
      <c r="M65" s="12">
        <v>30000</v>
      </c>
      <c r="N65" s="12">
        <f t="shared" si="11"/>
        <v>24000</v>
      </c>
      <c r="O65" s="14">
        <v>1</v>
      </c>
      <c r="P65" s="12">
        <f t="shared" si="12"/>
        <v>47364</v>
      </c>
      <c r="Q65" s="15">
        <f t="shared" si="13"/>
        <v>1.0873278236914601</v>
      </c>
      <c r="R65" s="15">
        <f t="shared" si="14"/>
        <v>0.68870523415977958</v>
      </c>
      <c r="S65" s="10" t="s">
        <v>97</v>
      </c>
    </row>
    <row r="66" spans="1:19" x14ac:dyDescent="0.25">
      <c r="A66" s="10" t="s">
        <v>1065</v>
      </c>
      <c r="B66" s="10" t="s">
        <v>1066</v>
      </c>
      <c r="C66" s="10" t="s">
        <v>1054</v>
      </c>
      <c r="D66" s="11">
        <v>45345</v>
      </c>
      <c r="E66" s="12">
        <v>99000</v>
      </c>
      <c r="F66" s="10" t="s">
        <v>29</v>
      </c>
      <c r="G66" s="10" t="s">
        <v>23</v>
      </c>
      <c r="H66" s="12">
        <v>99000</v>
      </c>
      <c r="I66" s="12">
        <v>51320</v>
      </c>
      <c r="J66" s="13">
        <f t="shared" si="10"/>
        <v>51.838383838383841</v>
      </c>
      <c r="K66" s="12">
        <v>102636</v>
      </c>
      <c r="L66" s="12">
        <f>H66-72636</f>
        <v>26364</v>
      </c>
      <c r="M66" s="12">
        <v>30000</v>
      </c>
      <c r="N66" s="12">
        <f t="shared" si="11"/>
        <v>19800</v>
      </c>
      <c r="O66" s="14">
        <v>1</v>
      </c>
      <c r="P66" s="12">
        <f t="shared" si="12"/>
        <v>26364</v>
      </c>
      <c r="Q66" s="15">
        <f t="shared" si="13"/>
        <v>0.60523415977961437</v>
      </c>
      <c r="R66" s="15">
        <f t="shared" si="14"/>
        <v>0.68870523415977958</v>
      </c>
      <c r="S66" s="10" t="s">
        <v>97</v>
      </c>
    </row>
    <row r="67" spans="1:19" x14ac:dyDescent="0.25">
      <c r="A67" s="10" t="s">
        <v>1067</v>
      </c>
      <c r="B67" s="10" t="s">
        <v>1068</v>
      </c>
      <c r="C67" s="10" t="s">
        <v>1054</v>
      </c>
      <c r="D67" s="11">
        <v>45079</v>
      </c>
      <c r="E67" s="12">
        <v>109000</v>
      </c>
      <c r="F67" s="10" t="s">
        <v>22</v>
      </c>
      <c r="G67" s="10" t="s">
        <v>23</v>
      </c>
      <c r="H67" s="12">
        <v>109000</v>
      </c>
      <c r="I67" s="12">
        <v>51230</v>
      </c>
      <c r="J67" s="13">
        <f t="shared" si="10"/>
        <v>47</v>
      </c>
      <c r="K67" s="12">
        <v>102466</v>
      </c>
      <c r="L67" s="12">
        <f>H67-72466</f>
        <v>36534</v>
      </c>
      <c r="M67" s="12">
        <v>30000</v>
      </c>
      <c r="N67" s="12">
        <f t="shared" si="11"/>
        <v>21800</v>
      </c>
      <c r="O67" s="14">
        <v>1</v>
      </c>
      <c r="P67" s="12">
        <f t="shared" si="12"/>
        <v>36534</v>
      </c>
      <c r="Q67" s="15">
        <f t="shared" si="13"/>
        <v>0.8387052341597796</v>
      </c>
      <c r="R67" s="15">
        <f t="shared" si="14"/>
        <v>0.68870523415977958</v>
      </c>
      <c r="S67" s="10" t="s">
        <v>97</v>
      </c>
    </row>
    <row r="68" spans="1:19" x14ac:dyDescent="0.25">
      <c r="A68" s="10" t="s">
        <v>1069</v>
      </c>
      <c r="B68" s="10" t="s">
        <v>1070</v>
      </c>
      <c r="C68" s="10" t="s">
        <v>1054</v>
      </c>
      <c r="D68" s="11">
        <v>45030</v>
      </c>
      <c r="E68" s="12">
        <v>119500</v>
      </c>
      <c r="F68" s="10" t="s">
        <v>29</v>
      </c>
      <c r="G68" s="10" t="s">
        <v>23</v>
      </c>
      <c r="H68" s="12">
        <v>119500</v>
      </c>
      <c r="I68" s="12">
        <v>53020</v>
      </c>
      <c r="J68" s="13">
        <f t="shared" si="10"/>
        <v>44.36820083682008</v>
      </c>
      <c r="K68" s="12">
        <v>106034</v>
      </c>
      <c r="L68" s="12">
        <f>H68-76034</f>
        <v>43466</v>
      </c>
      <c r="M68" s="12">
        <v>30000</v>
      </c>
      <c r="N68" s="12">
        <f t="shared" si="11"/>
        <v>23900</v>
      </c>
      <c r="O68" s="14">
        <v>1</v>
      </c>
      <c r="P68" s="12">
        <f t="shared" si="12"/>
        <v>43466</v>
      </c>
      <c r="Q68" s="15">
        <f t="shared" si="13"/>
        <v>0.99784205693296602</v>
      </c>
      <c r="R68" s="15">
        <f t="shared" si="14"/>
        <v>0.68870523415977958</v>
      </c>
      <c r="S68" s="10" t="s">
        <v>97</v>
      </c>
    </row>
    <row r="69" spans="1:19" x14ac:dyDescent="0.25">
      <c r="A69" s="10" t="s">
        <v>1071</v>
      </c>
      <c r="B69" s="10" t="s">
        <v>1072</v>
      </c>
      <c r="C69" s="10" t="s">
        <v>1054</v>
      </c>
      <c r="D69" s="11">
        <v>45548</v>
      </c>
      <c r="E69" s="12">
        <v>205000</v>
      </c>
      <c r="F69" s="10" t="s">
        <v>22</v>
      </c>
      <c r="G69" s="10" t="s">
        <v>23</v>
      </c>
      <c r="H69" s="12">
        <v>205000</v>
      </c>
      <c r="I69" s="12">
        <v>68630</v>
      </c>
      <c r="J69" s="13">
        <f t="shared" si="10"/>
        <v>33.478048780487804</v>
      </c>
      <c r="K69" s="12">
        <v>137269</v>
      </c>
      <c r="L69" s="12">
        <f>H69-107269</f>
        <v>97731</v>
      </c>
      <c r="M69" s="12">
        <v>30000</v>
      </c>
      <c r="N69" s="12">
        <f t="shared" si="11"/>
        <v>41000</v>
      </c>
      <c r="O69" s="14">
        <v>1</v>
      </c>
      <c r="P69" s="12">
        <f t="shared" si="12"/>
        <v>97731</v>
      </c>
      <c r="Q69" s="15">
        <f t="shared" si="13"/>
        <v>2.243595041322314</v>
      </c>
      <c r="R69" s="15">
        <f t="shared" si="14"/>
        <v>0.68870523415977958</v>
      </c>
      <c r="S69" s="10" t="s">
        <v>97</v>
      </c>
    </row>
    <row r="70" spans="1:19" ht="15.75" thickBot="1" x14ac:dyDescent="0.3">
      <c r="A70" s="16"/>
      <c r="B70" s="16"/>
      <c r="C70" s="16"/>
      <c r="D70" s="17"/>
      <c r="E70" s="18"/>
      <c r="F70" s="16"/>
      <c r="G70" s="16"/>
      <c r="H70" s="18"/>
      <c r="I70" s="18"/>
      <c r="J70" s="19"/>
      <c r="K70" s="18"/>
      <c r="L70" s="18">
        <f>AVERAGE(L60:L69)</f>
        <v>46695.4</v>
      </c>
      <c r="M70" s="18">
        <f>AVERAGE(M60:M69)</f>
        <v>30000</v>
      </c>
      <c r="N70" s="18">
        <f>AVERAGE(N60:N69)</f>
        <v>25140</v>
      </c>
      <c r="O70" s="20"/>
      <c r="P70" s="18">
        <f>AVERAGE(P60:P69)</f>
        <v>46695.4</v>
      </c>
      <c r="Q70" s="21">
        <f>AVERAGE(Q60:Q69)</f>
        <v>1.0719788797061525</v>
      </c>
      <c r="R70" s="21"/>
      <c r="S70" s="16"/>
    </row>
    <row r="71" spans="1:19" ht="15.75" thickTop="1" x14ac:dyDescent="0.25">
      <c r="A71" s="10"/>
      <c r="B71" s="10"/>
      <c r="C71" s="10"/>
      <c r="D71" s="11"/>
      <c r="E71" s="12"/>
      <c r="F71" s="10"/>
      <c r="G71" s="10"/>
      <c r="H71" s="12"/>
      <c r="I71" s="12"/>
      <c r="J71" s="13"/>
      <c r="K71" s="12"/>
      <c r="L71" s="12"/>
      <c r="M71" s="12"/>
      <c r="N71" s="12"/>
      <c r="O71" s="14"/>
      <c r="P71" s="12"/>
      <c r="Q71" s="15"/>
      <c r="R71" s="15"/>
      <c r="S71" s="10"/>
    </row>
    <row r="72" spans="1:19" x14ac:dyDescent="0.25">
      <c r="A72" s="10"/>
      <c r="B72" s="10"/>
      <c r="C72" s="10"/>
      <c r="D72" s="11"/>
      <c r="E72" s="12"/>
      <c r="F72" s="10"/>
      <c r="G72" s="10"/>
      <c r="H72" s="12"/>
      <c r="I72" s="12"/>
      <c r="J72" s="13"/>
      <c r="K72" s="12"/>
      <c r="L72" s="12"/>
      <c r="M72" s="12"/>
      <c r="N72" s="12"/>
      <c r="O72" s="14"/>
      <c r="P72" s="12"/>
      <c r="Q72" s="15"/>
      <c r="R72" s="15"/>
      <c r="S72" s="10"/>
    </row>
    <row r="73" spans="1:19" x14ac:dyDescent="0.25">
      <c r="A73" s="10" t="s">
        <v>1073</v>
      </c>
      <c r="B73" s="10" t="s">
        <v>1074</v>
      </c>
      <c r="C73" s="10" t="s">
        <v>1075</v>
      </c>
      <c r="D73" s="11">
        <v>45114</v>
      </c>
      <c r="E73" s="12">
        <v>215000</v>
      </c>
      <c r="F73" s="10" t="s">
        <v>29</v>
      </c>
      <c r="G73" s="10" t="s">
        <v>23</v>
      </c>
      <c r="H73" s="12">
        <v>215000</v>
      </c>
      <c r="I73" s="12">
        <v>91210</v>
      </c>
      <c r="J73" s="13">
        <f t="shared" ref="J73:J81" si="15">I73/H73*100</f>
        <v>42.423255813953489</v>
      </c>
      <c r="K73" s="12">
        <v>182413</v>
      </c>
      <c r="L73" s="12">
        <f>H73-137413</f>
        <v>77587</v>
      </c>
      <c r="M73" s="12">
        <v>45000</v>
      </c>
      <c r="N73" s="12">
        <f t="shared" ref="N73:N81" si="16">E73*0.2</f>
        <v>43000</v>
      </c>
      <c r="O73" s="14">
        <v>1</v>
      </c>
      <c r="P73" s="12">
        <f t="shared" ref="P73:P81" si="17">L73/O73</f>
        <v>77587</v>
      </c>
      <c r="Q73" s="15">
        <f t="shared" ref="Q73:Q81" si="18">L73/O73/43560</f>
        <v>1.7811524334251607</v>
      </c>
      <c r="R73" s="15">
        <f t="shared" ref="R73:R81" si="19">M73/O73/43560</f>
        <v>1.0330578512396693</v>
      </c>
      <c r="S73" s="10" t="s">
        <v>97</v>
      </c>
    </row>
    <row r="74" spans="1:19" x14ac:dyDescent="0.25">
      <c r="A74" s="10" t="s">
        <v>1076</v>
      </c>
      <c r="B74" s="10" t="s">
        <v>1077</v>
      </c>
      <c r="C74" s="10" t="s">
        <v>1075</v>
      </c>
      <c r="D74" s="11">
        <v>45399</v>
      </c>
      <c r="E74" s="12">
        <v>167000</v>
      </c>
      <c r="F74" s="10" t="s">
        <v>29</v>
      </c>
      <c r="G74" s="10" t="s">
        <v>23</v>
      </c>
      <c r="H74" s="12">
        <v>167000</v>
      </c>
      <c r="I74" s="12">
        <v>81540</v>
      </c>
      <c r="J74" s="13">
        <f t="shared" si="15"/>
        <v>48.82634730538922</v>
      </c>
      <c r="K74" s="12">
        <v>163070</v>
      </c>
      <c r="L74" s="12">
        <f>H74-118070</f>
        <v>48930</v>
      </c>
      <c r="M74" s="12">
        <v>45000</v>
      </c>
      <c r="N74" s="12">
        <f t="shared" si="16"/>
        <v>33400</v>
      </c>
      <c r="O74" s="14">
        <v>1</v>
      </c>
      <c r="P74" s="12">
        <f t="shared" si="17"/>
        <v>48930</v>
      </c>
      <c r="Q74" s="15">
        <f t="shared" si="18"/>
        <v>1.1232782369146006</v>
      </c>
      <c r="R74" s="15">
        <f t="shared" si="19"/>
        <v>1.0330578512396693</v>
      </c>
      <c r="S74" s="10" t="s">
        <v>97</v>
      </c>
    </row>
    <row r="75" spans="1:19" x14ac:dyDescent="0.25">
      <c r="A75" s="10" t="s">
        <v>1078</v>
      </c>
      <c r="B75" s="10" t="s">
        <v>1079</v>
      </c>
      <c r="C75" s="10" t="s">
        <v>1075</v>
      </c>
      <c r="D75" s="11">
        <v>45260</v>
      </c>
      <c r="E75" s="12">
        <v>165100</v>
      </c>
      <c r="F75" s="10" t="s">
        <v>22</v>
      </c>
      <c r="G75" s="10" t="s">
        <v>23</v>
      </c>
      <c r="H75" s="12">
        <v>165100</v>
      </c>
      <c r="I75" s="12">
        <v>77890</v>
      </c>
      <c r="J75" s="13">
        <f t="shared" si="15"/>
        <v>47.17746820109025</v>
      </c>
      <c r="K75" s="12">
        <v>155779</v>
      </c>
      <c r="L75" s="12">
        <f>H75-110779</f>
        <v>54321</v>
      </c>
      <c r="M75" s="12">
        <v>45000</v>
      </c>
      <c r="N75" s="12">
        <f t="shared" si="16"/>
        <v>33020</v>
      </c>
      <c r="O75" s="14">
        <v>1</v>
      </c>
      <c r="P75" s="12">
        <f t="shared" si="17"/>
        <v>54321</v>
      </c>
      <c r="Q75" s="15">
        <f t="shared" si="18"/>
        <v>1.247038567493113</v>
      </c>
      <c r="R75" s="15">
        <f t="shared" si="19"/>
        <v>1.0330578512396693</v>
      </c>
      <c r="S75" s="10" t="s">
        <v>97</v>
      </c>
    </row>
    <row r="76" spans="1:19" x14ac:dyDescent="0.25">
      <c r="A76" s="10" t="s">
        <v>1080</v>
      </c>
      <c r="B76" s="10" t="s">
        <v>1081</v>
      </c>
      <c r="C76" s="10" t="s">
        <v>1075</v>
      </c>
      <c r="D76" s="11">
        <v>45502</v>
      </c>
      <c r="E76" s="12">
        <v>174900</v>
      </c>
      <c r="F76" s="10" t="s">
        <v>22</v>
      </c>
      <c r="G76" s="10" t="s">
        <v>23</v>
      </c>
      <c r="H76" s="12">
        <v>174900</v>
      </c>
      <c r="I76" s="12">
        <v>81250</v>
      </c>
      <c r="J76" s="13">
        <f t="shared" si="15"/>
        <v>46.455117209834192</v>
      </c>
      <c r="K76" s="12">
        <v>162497</v>
      </c>
      <c r="L76" s="12">
        <f>H76-117497</f>
        <v>57403</v>
      </c>
      <c r="M76" s="12">
        <v>45000</v>
      </c>
      <c r="N76" s="12">
        <f t="shared" si="16"/>
        <v>34980</v>
      </c>
      <c r="O76" s="14">
        <v>1</v>
      </c>
      <c r="P76" s="12">
        <f t="shared" si="17"/>
        <v>57403</v>
      </c>
      <c r="Q76" s="15">
        <f t="shared" si="18"/>
        <v>1.317791551882461</v>
      </c>
      <c r="R76" s="15">
        <f t="shared" si="19"/>
        <v>1.0330578512396693</v>
      </c>
      <c r="S76" s="10" t="s">
        <v>97</v>
      </c>
    </row>
    <row r="77" spans="1:19" x14ac:dyDescent="0.25">
      <c r="A77" s="10" t="s">
        <v>1082</v>
      </c>
      <c r="B77" s="10" t="s">
        <v>1083</v>
      </c>
      <c r="C77" s="10" t="s">
        <v>1075</v>
      </c>
      <c r="D77" s="11">
        <v>45152</v>
      </c>
      <c r="E77" s="12">
        <v>167000</v>
      </c>
      <c r="F77" s="10" t="s">
        <v>22</v>
      </c>
      <c r="G77" s="10" t="s">
        <v>23</v>
      </c>
      <c r="H77" s="12">
        <v>167000</v>
      </c>
      <c r="I77" s="12">
        <v>82150</v>
      </c>
      <c r="J77" s="13">
        <f t="shared" si="15"/>
        <v>49.191616766467064</v>
      </c>
      <c r="K77" s="12">
        <v>164308</v>
      </c>
      <c r="L77" s="12">
        <f>H77-119308</f>
        <v>47692</v>
      </c>
      <c r="M77" s="12">
        <v>45000</v>
      </c>
      <c r="N77" s="12">
        <f t="shared" si="16"/>
        <v>33400</v>
      </c>
      <c r="O77" s="14">
        <v>1</v>
      </c>
      <c r="P77" s="12">
        <f t="shared" si="17"/>
        <v>47692</v>
      </c>
      <c r="Q77" s="15">
        <f t="shared" si="18"/>
        <v>1.0948576675849404</v>
      </c>
      <c r="R77" s="15">
        <f t="shared" si="19"/>
        <v>1.0330578512396693</v>
      </c>
      <c r="S77" s="10" t="s">
        <v>97</v>
      </c>
    </row>
    <row r="78" spans="1:19" x14ac:dyDescent="0.25">
      <c r="A78" s="10" t="s">
        <v>1084</v>
      </c>
      <c r="B78" s="10" t="s">
        <v>1085</v>
      </c>
      <c r="C78" s="10" t="s">
        <v>1075</v>
      </c>
      <c r="D78" s="11">
        <v>45702</v>
      </c>
      <c r="E78" s="12">
        <v>175000</v>
      </c>
      <c r="F78" s="10" t="s">
        <v>29</v>
      </c>
      <c r="G78" s="10" t="s">
        <v>23</v>
      </c>
      <c r="H78" s="12">
        <v>175000</v>
      </c>
      <c r="I78" s="12">
        <v>80590</v>
      </c>
      <c r="J78" s="13">
        <f t="shared" si="15"/>
        <v>46.051428571428573</v>
      </c>
      <c r="K78" s="12">
        <v>161178</v>
      </c>
      <c r="L78" s="12">
        <f>H78-116178</f>
        <v>58822</v>
      </c>
      <c r="M78" s="12">
        <v>45000</v>
      </c>
      <c r="N78" s="12">
        <f t="shared" si="16"/>
        <v>35000</v>
      </c>
      <c r="O78" s="14">
        <v>1</v>
      </c>
      <c r="P78" s="12">
        <f t="shared" si="17"/>
        <v>58822</v>
      </c>
      <c r="Q78" s="15">
        <f t="shared" si="18"/>
        <v>1.3503673094582185</v>
      </c>
      <c r="R78" s="15">
        <f t="shared" si="19"/>
        <v>1.0330578512396693</v>
      </c>
      <c r="S78" s="10" t="s">
        <v>97</v>
      </c>
    </row>
    <row r="79" spans="1:19" x14ac:dyDescent="0.25">
      <c r="A79" s="10" t="s">
        <v>1086</v>
      </c>
      <c r="B79" s="10" t="s">
        <v>1087</v>
      </c>
      <c r="C79" s="10" t="s">
        <v>1075</v>
      </c>
      <c r="D79" s="11">
        <v>45240</v>
      </c>
      <c r="E79" s="12">
        <v>170000</v>
      </c>
      <c r="F79" s="10" t="s">
        <v>29</v>
      </c>
      <c r="G79" s="10" t="s">
        <v>23</v>
      </c>
      <c r="H79" s="12">
        <v>170000</v>
      </c>
      <c r="I79" s="12">
        <v>81070</v>
      </c>
      <c r="J79" s="13">
        <f t="shared" si="15"/>
        <v>47.688235294117646</v>
      </c>
      <c r="K79" s="12">
        <v>162137</v>
      </c>
      <c r="L79" s="12">
        <f>H79-117137</f>
        <v>52863</v>
      </c>
      <c r="M79" s="12">
        <v>45000</v>
      </c>
      <c r="N79" s="12">
        <f t="shared" si="16"/>
        <v>34000</v>
      </c>
      <c r="O79" s="14">
        <v>1</v>
      </c>
      <c r="P79" s="12">
        <f t="shared" si="17"/>
        <v>52863</v>
      </c>
      <c r="Q79" s="15">
        <f t="shared" si="18"/>
        <v>1.2135674931129476</v>
      </c>
      <c r="R79" s="15">
        <f t="shared" si="19"/>
        <v>1.0330578512396693</v>
      </c>
      <c r="S79" s="10" t="s">
        <v>97</v>
      </c>
    </row>
    <row r="80" spans="1:19" x14ac:dyDescent="0.25">
      <c r="A80" s="10" t="s">
        <v>1088</v>
      </c>
      <c r="B80" s="10" t="s">
        <v>1089</v>
      </c>
      <c r="C80" s="10" t="s">
        <v>1075</v>
      </c>
      <c r="D80" s="11">
        <v>45371</v>
      </c>
      <c r="E80" s="12">
        <v>180000</v>
      </c>
      <c r="F80" s="10" t="s">
        <v>29</v>
      </c>
      <c r="G80" s="10" t="s">
        <v>23</v>
      </c>
      <c r="H80" s="12">
        <v>180000</v>
      </c>
      <c r="I80" s="12">
        <v>91230</v>
      </c>
      <c r="J80" s="13">
        <f t="shared" si="15"/>
        <v>50.683333333333337</v>
      </c>
      <c r="K80" s="12">
        <v>182464</v>
      </c>
      <c r="L80" s="12">
        <f>H80-137464</f>
        <v>42536</v>
      </c>
      <c r="M80" s="12">
        <v>45000</v>
      </c>
      <c r="N80" s="12">
        <f t="shared" si="16"/>
        <v>36000</v>
      </c>
      <c r="O80" s="14">
        <v>1</v>
      </c>
      <c r="P80" s="12">
        <f t="shared" si="17"/>
        <v>42536</v>
      </c>
      <c r="Q80" s="15">
        <f t="shared" si="18"/>
        <v>0.97649219467401283</v>
      </c>
      <c r="R80" s="15">
        <f t="shared" si="19"/>
        <v>1.0330578512396693</v>
      </c>
      <c r="S80" s="10" t="s">
        <v>97</v>
      </c>
    </row>
    <row r="81" spans="1:19" x14ac:dyDescent="0.25">
      <c r="A81" s="10" t="s">
        <v>1090</v>
      </c>
      <c r="B81" s="10" t="s">
        <v>1091</v>
      </c>
      <c r="C81" s="10" t="s">
        <v>1075</v>
      </c>
      <c r="D81" s="11">
        <v>45378</v>
      </c>
      <c r="E81" s="12">
        <v>217000</v>
      </c>
      <c r="F81" s="10" t="s">
        <v>29</v>
      </c>
      <c r="G81" s="10" t="s">
        <v>23</v>
      </c>
      <c r="H81" s="12">
        <v>217000</v>
      </c>
      <c r="I81" s="12">
        <v>91230</v>
      </c>
      <c r="J81" s="13">
        <f t="shared" si="15"/>
        <v>42.041474654377879</v>
      </c>
      <c r="K81" s="12">
        <v>182464</v>
      </c>
      <c r="L81" s="12">
        <f>H81-137464</f>
        <v>79536</v>
      </c>
      <c r="M81" s="12">
        <v>45000</v>
      </c>
      <c r="N81" s="12">
        <f t="shared" si="16"/>
        <v>43400</v>
      </c>
      <c r="O81" s="14">
        <v>1</v>
      </c>
      <c r="P81" s="12">
        <f t="shared" si="17"/>
        <v>79536</v>
      </c>
      <c r="Q81" s="15">
        <f t="shared" si="18"/>
        <v>1.8258953168044076</v>
      </c>
      <c r="R81" s="15">
        <f t="shared" si="19"/>
        <v>1.0330578512396693</v>
      </c>
      <c r="S81" s="10" t="s">
        <v>97</v>
      </c>
    </row>
    <row r="82" spans="1:19" ht="15.75" thickBot="1" x14ac:dyDescent="0.3">
      <c r="A82" s="16"/>
      <c r="B82" s="16"/>
      <c r="C82" s="16"/>
      <c r="D82" s="17"/>
      <c r="E82" s="18"/>
      <c r="F82" s="16"/>
      <c r="G82" s="16"/>
      <c r="H82" s="18"/>
      <c r="I82" s="18"/>
      <c r="J82" s="19"/>
      <c r="K82" s="18"/>
      <c r="L82" s="18">
        <f>AVERAGE(L73:L81)</f>
        <v>57743.333333333336</v>
      </c>
      <c r="M82" s="18">
        <f>AVERAGE(M73:M81)</f>
        <v>45000</v>
      </c>
      <c r="N82" s="18">
        <f>AVERAGE(N73:N81)</f>
        <v>36244.444444444445</v>
      </c>
      <c r="O82" s="20"/>
      <c r="P82" s="18"/>
      <c r="Q82" s="21">
        <f>AVERAGE(Q73:Q81)</f>
        <v>1.3256045301499846</v>
      </c>
      <c r="R82" s="21">
        <f>AVERAGE(R73:R81)</f>
        <v>1.0330578512396693</v>
      </c>
      <c r="S82" s="16"/>
    </row>
    <row r="83" spans="1:19" ht="15.75" thickTop="1" x14ac:dyDescent="0.2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0AB1-83F3-43EC-A821-554CD9B268B4}">
  <dimension ref="A1:S42"/>
  <sheetViews>
    <sheetView workbookViewId="0">
      <selection activeCell="A35" sqref="A35:XFD38"/>
    </sheetView>
  </sheetViews>
  <sheetFormatPr defaultRowHeight="15" x14ac:dyDescent="0.25"/>
  <cols>
    <col min="1" max="1" width="12.42578125" bestFit="1" customWidth="1"/>
    <col min="2" max="2" width="18.140625" bestFit="1" customWidth="1"/>
    <col min="3" max="3" width="12.5703125" bestFit="1" customWidth="1"/>
    <col min="13" max="13" width="10.8554687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180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1092</v>
      </c>
      <c r="B2" s="10" t="s">
        <v>1093</v>
      </c>
      <c r="C2" s="10" t="s">
        <v>1094</v>
      </c>
      <c r="D2" s="11">
        <v>45621</v>
      </c>
      <c r="E2" s="12">
        <v>505000</v>
      </c>
      <c r="F2" s="10" t="s">
        <v>22</v>
      </c>
      <c r="G2" s="10" t="s">
        <v>23</v>
      </c>
      <c r="H2" s="12">
        <v>505000</v>
      </c>
      <c r="I2" s="12">
        <v>204400</v>
      </c>
      <c r="J2" s="13">
        <f>I2/H2*100</f>
        <v>40.475247524752476</v>
      </c>
      <c r="K2" s="12">
        <v>408807</v>
      </c>
      <c r="L2" s="12">
        <f>H2-337412</f>
        <v>167588</v>
      </c>
      <c r="M2" s="12">
        <v>71395</v>
      </c>
      <c r="N2" s="12">
        <f>E2*0.2</f>
        <v>101000</v>
      </c>
      <c r="O2" s="14">
        <v>0.29799999999999999</v>
      </c>
      <c r="P2" s="12">
        <f>L2/O2</f>
        <v>562375.83892617456</v>
      </c>
      <c r="Q2" s="15">
        <f>L2/O2/43560</f>
        <v>12.910372794448453</v>
      </c>
      <c r="R2" s="15">
        <f>M2/O2/43560</f>
        <v>5.5000123258207454</v>
      </c>
      <c r="S2" s="10" t="s">
        <v>24</v>
      </c>
    </row>
    <row r="3" spans="1:19" x14ac:dyDescent="0.25">
      <c r="A3" s="10" t="s">
        <v>1095</v>
      </c>
      <c r="B3" s="10" t="s">
        <v>1096</v>
      </c>
      <c r="C3" s="10" t="s">
        <v>1094</v>
      </c>
      <c r="D3" s="11">
        <v>45737</v>
      </c>
      <c r="E3" s="12">
        <v>505000</v>
      </c>
      <c r="F3" s="10" t="s">
        <v>29</v>
      </c>
      <c r="G3" s="10" t="s">
        <v>23</v>
      </c>
      <c r="H3" s="12">
        <v>505000</v>
      </c>
      <c r="I3" s="12">
        <v>221350</v>
      </c>
      <c r="J3" s="13">
        <f>I3/H3*100</f>
        <v>43.831683168316829</v>
      </c>
      <c r="K3" s="12">
        <v>442697</v>
      </c>
      <c r="L3" s="12">
        <f>H3-347105</f>
        <v>157895</v>
      </c>
      <c r="M3" s="12">
        <v>95592</v>
      </c>
      <c r="N3" s="12">
        <f>E3*0.2</f>
        <v>101000</v>
      </c>
      <c r="O3" s="14">
        <v>0.39900000000000002</v>
      </c>
      <c r="P3" s="12">
        <f>L3/O3</f>
        <v>395726.81704260648</v>
      </c>
      <c r="Q3" s="15">
        <f>L3/O3/43560</f>
        <v>9.0846376731544183</v>
      </c>
      <c r="R3" s="15">
        <f>M3/O3/43560</f>
        <v>5.4999758349040642</v>
      </c>
      <c r="S3" s="10" t="s">
        <v>24</v>
      </c>
    </row>
    <row r="4" spans="1:19" x14ac:dyDescent="0.25">
      <c r="A4" s="10" t="s">
        <v>1097</v>
      </c>
      <c r="B4" s="10" t="s">
        <v>1098</v>
      </c>
      <c r="C4" s="10" t="s">
        <v>1094</v>
      </c>
      <c r="D4" s="11">
        <v>45145</v>
      </c>
      <c r="E4" s="12">
        <v>380000</v>
      </c>
      <c r="F4" s="10" t="s">
        <v>29</v>
      </c>
      <c r="G4" s="10" t="s">
        <v>23</v>
      </c>
      <c r="H4" s="12">
        <v>380000</v>
      </c>
      <c r="I4" s="12">
        <v>172490</v>
      </c>
      <c r="J4" s="13">
        <f>I4/H4*100</f>
        <v>45.392105263157895</v>
      </c>
      <c r="K4" s="12">
        <v>344977</v>
      </c>
      <c r="L4" s="12">
        <f>H4-224871</f>
        <v>155129</v>
      </c>
      <c r="M4" s="12">
        <v>120106</v>
      </c>
      <c r="N4" s="12">
        <f>E4*0.2</f>
        <v>76000</v>
      </c>
      <c r="O4" s="14">
        <v>0.52900000000000003</v>
      </c>
      <c r="P4" s="12">
        <f>L4/O4</f>
        <v>293249.5274102079</v>
      </c>
      <c r="Q4" s="15">
        <f>L4/O4/43560</f>
        <v>6.7320828147430651</v>
      </c>
      <c r="R4" s="15">
        <f>M4/O4/43560</f>
        <v>5.2122010620034338</v>
      </c>
      <c r="S4" s="10" t="s">
        <v>24</v>
      </c>
    </row>
    <row r="5" spans="1:19" x14ac:dyDescent="0.25">
      <c r="A5" s="10" t="s">
        <v>1099</v>
      </c>
      <c r="B5" s="10" t="s">
        <v>1100</v>
      </c>
      <c r="C5" s="10" t="s">
        <v>1094</v>
      </c>
      <c r="D5" s="11">
        <v>45191</v>
      </c>
      <c r="E5" s="12">
        <v>369000</v>
      </c>
      <c r="F5" s="10" t="s">
        <v>22</v>
      </c>
      <c r="G5" s="10" t="s">
        <v>23</v>
      </c>
      <c r="H5" s="12">
        <v>369000</v>
      </c>
      <c r="I5" s="12">
        <v>213500</v>
      </c>
      <c r="J5" s="13">
        <f>I5/H5*100</f>
        <v>57.859078590785906</v>
      </c>
      <c r="K5" s="12">
        <v>427009</v>
      </c>
      <c r="L5" s="12">
        <f>H5-352500</f>
        <v>16500</v>
      </c>
      <c r="M5" s="12">
        <v>74509</v>
      </c>
      <c r="N5" s="12">
        <f>E5*0.2</f>
        <v>73800</v>
      </c>
      <c r="O5" s="14">
        <v>0.311</v>
      </c>
      <c r="P5" s="12">
        <f>L5/O5</f>
        <v>53054.662379421221</v>
      </c>
      <c r="Q5" s="15">
        <f>L5/O5/43560</f>
        <v>1.2179674559095781</v>
      </c>
      <c r="R5" s="15">
        <f>M5/O5/43560</f>
        <v>5.4999719498404094</v>
      </c>
      <c r="S5" s="10" t="s">
        <v>24</v>
      </c>
    </row>
    <row r="6" spans="1:19" x14ac:dyDescent="0.25">
      <c r="A6" s="10" t="s">
        <v>1101</v>
      </c>
      <c r="B6" s="10" t="s">
        <v>1102</v>
      </c>
      <c r="C6" s="10" t="s">
        <v>1094</v>
      </c>
      <c r="D6" s="11">
        <v>45706</v>
      </c>
      <c r="E6" s="12">
        <v>575000</v>
      </c>
      <c r="F6" s="10" t="s">
        <v>22</v>
      </c>
      <c r="G6" s="10" t="s">
        <v>23</v>
      </c>
      <c r="H6" s="12">
        <v>575000</v>
      </c>
      <c r="I6" s="12">
        <v>259410</v>
      </c>
      <c r="J6" s="13">
        <f>I6/H6*100</f>
        <v>45.114782608695656</v>
      </c>
      <c r="K6" s="12">
        <v>518826</v>
      </c>
      <c r="L6" s="12">
        <f>H6-435213</f>
        <v>139787</v>
      </c>
      <c r="M6" s="12">
        <v>83613</v>
      </c>
      <c r="N6" s="12">
        <f>E6*0.2</f>
        <v>115000</v>
      </c>
      <c r="O6" s="14">
        <v>0.34899999999999998</v>
      </c>
      <c r="P6" s="12">
        <f>L6/O6</f>
        <v>400535.81661891122</v>
      </c>
      <c r="Q6" s="15">
        <f>L6/O6/43560</f>
        <v>9.1950371124635275</v>
      </c>
      <c r="R6" s="15">
        <f>M6/O6/43560</f>
        <v>5.4999723728559369</v>
      </c>
      <c r="S6" s="10" t="s">
        <v>24</v>
      </c>
    </row>
    <row r="7" spans="1:19" ht="15.75" thickBot="1" x14ac:dyDescent="0.3">
      <c r="A7" s="16"/>
      <c r="B7" s="16"/>
      <c r="C7" s="16"/>
      <c r="D7" s="17"/>
      <c r="E7" s="18"/>
      <c r="F7" s="16"/>
      <c r="G7" s="16"/>
      <c r="H7" s="18"/>
      <c r="I7" s="18"/>
      <c r="J7" s="19"/>
      <c r="K7" s="18"/>
      <c r="L7" s="18">
        <f>AVERAGE(L2:L6)</f>
        <v>127379.8</v>
      </c>
      <c r="M7" s="18">
        <f>AVERAGE(M2:M6)</f>
        <v>89043</v>
      </c>
      <c r="N7" s="18">
        <f>AVERAGE(N2:N6)</f>
        <v>93360</v>
      </c>
      <c r="O7" s="20"/>
      <c r="P7" s="18"/>
      <c r="Q7" s="21">
        <f>AVERAGE(Q2:Q6)</f>
        <v>7.8280195701438089</v>
      </c>
      <c r="R7" s="21">
        <f>AVERAGE(R2:R6)</f>
        <v>5.4424267090849172</v>
      </c>
      <c r="S7" s="16"/>
    </row>
    <row r="8" spans="1:19" ht="15.75" thickTop="1" x14ac:dyDescent="0.25">
      <c r="A8" s="10"/>
      <c r="B8" s="10"/>
      <c r="C8" s="10"/>
      <c r="D8" s="11"/>
      <c r="E8" s="12"/>
      <c r="F8" s="10"/>
      <c r="G8" s="10"/>
      <c r="H8" s="12"/>
      <c r="I8" s="12"/>
      <c r="J8" s="13"/>
      <c r="K8" s="12"/>
      <c r="L8" s="12"/>
      <c r="M8" s="12"/>
      <c r="N8" s="12"/>
      <c r="O8" s="14"/>
      <c r="P8" s="12"/>
      <c r="Q8" s="15"/>
      <c r="R8" s="15"/>
      <c r="S8" s="10"/>
    </row>
    <row r="9" spans="1:19" x14ac:dyDescent="0.25">
      <c r="A9" s="10"/>
      <c r="B9" s="10"/>
      <c r="C9" s="10"/>
      <c r="D9" s="11"/>
      <c r="E9" s="12"/>
      <c r="F9" s="10"/>
      <c r="G9" s="10"/>
      <c r="H9" s="12"/>
      <c r="I9" s="12"/>
      <c r="J9" s="13"/>
      <c r="K9" s="12"/>
      <c r="L9" s="12"/>
      <c r="M9" s="12"/>
      <c r="N9" s="12"/>
      <c r="O9" s="14"/>
      <c r="P9" s="12"/>
      <c r="Q9" s="15"/>
      <c r="R9" s="15"/>
      <c r="S9" s="10"/>
    </row>
    <row r="10" spans="1:19" x14ac:dyDescent="0.25">
      <c r="A10" s="10" t="s">
        <v>1103</v>
      </c>
      <c r="B10" s="10" t="s">
        <v>1104</v>
      </c>
      <c r="C10" s="10" t="s">
        <v>1105</v>
      </c>
      <c r="D10" s="11">
        <v>45019</v>
      </c>
      <c r="E10" s="12">
        <v>760000</v>
      </c>
      <c r="F10" s="10" t="s">
        <v>22</v>
      </c>
      <c r="G10" s="10" t="s">
        <v>23</v>
      </c>
      <c r="H10" s="12">
        <v>760000</v>
      </c>
      <c r="I10" s="12">
        <v>274730</v>
      </c>
      <c r="J10" s="13">
        <f t="shared" ref="J10:J31" si="0">I10/H10*100</f>
        <v>36.148684210526319</v>
      </c>
      <c r="K10" s="12">
        <v>549456</v>
      </c>
      <c r="L10" s="12">
        <f>H10-415627</f>
        <v>344373</v>
      </c>
      <c r="M10" s="12">
        <v>133829</v>
      </c>
      <c r="N10" s="12">
        <f t="shared" ref="N10:N31" si="1">E10*0.2</f>
        <v>152000</v>
      </c>
      <c r="O10" s="14">
        <v>0.41799999999999998</v>
      </c>
      <c r="P10" s="12">
        <f t="shared" ref="P10:P31" si="2">L10/O10</f>
        <v>823858.85167464113</v>
      </c>
      <c r="Q10" s="15">
        <f t="shared" ref="Q10:Q31" si="3">L10/O10/43560</f>
        <v>18.913196778573028</v>
      </c>
      <c r="R10" s="15">
        <f t="shared" ref="R10:R31" si="4">M10/O10/43560</f>
        <v>7.3499786907790394</v>
      </c>
      <c r="S10" s="10" t="s">
        <v>24</v>
      </c>
    </row>
    <row r="11" spans="1:19" x14ac:dyDescent="0.25">
      <c r="A11" s="10" t="s">
        <v>1106</v>
      </c>
      <c r="B11" s="10" t="s">
        <v>1107</v>
      </c>
      <c r="C11" s="10" t="s">
        <v>1105</v>
      </c>
      <c r="D11" s="11">
        <v>45593</v>
      </c>
      <c r="E11" s="12">
        <v>768000</v>
      </c>
      <c r="F11" s="10" t="s">
        <v>22</v>
      </c>
      <c r="G11" s="10" t="s">
        <v>23</v>
      </c>
      <c r="H11" s="12">
        <v>768000</v>
      </c>
      <c r="I11" s="12">
        <v>415490</v>
      </c>
      <c r="J11" s="13">
        <f t="shared" si="0"/>
        <v>54.100260416666671</v>
      </c>
      <c r="K11" s="12">
        <v>830984</v>
      </c>
      <c r="L11" s="12">
        <f>H11-650319</f>
        <v>117681</v>
      </c>
      <c r="M11" s="12">
        <v>180665</v>
      </c>
      <c r="N11" s="12">
        <f t="shared" si="1"/>
        <v>153600</v>
      </c>
      <c r="O11" s="14">
        <v>0.39500000000000002</v>
      </c>
      <c r="P11" s="12">
        <f t="shared" si="2"/>
        <v>297926.58227848099</v>
      </c>
      <c r="Q11" s="15">
        <f t="shared" si="3"/>
        <v>6.8394532203508032</v>
      </c>
      <c r="R11" s="15">
        <f t="shared" si="4"/>
        <v>10.499994188141484</v>
      </c>
      <c r="S11" s="10" t="s">
        <v>24</v>
      </c>
    </row>
    <row r="12" spans="1:19" x14ac:dyDescent="0.25">
      <c r="A12" s="10" t="s">
        <v>1108</v>
      </c>
      <c r="B12" s="10" t="s">
        <v>1109</v>
      </c>
      <c r="C12" s="10" t="s">
        <v>1105</v>
      </c>
      <c r="D12" s="11">
        <v>45547</v>
      </c>
      <c r="E12" s="12">
        <v>850000</v>
      </c>
      <c r="F12" s="10" t="s">
        <v>22</v>
      </c>
      <c r="G12" s="10" t="s">
        <v>23</v>
      </c>
      <c r="H12" s="12">
        <v>850000</v>
      </c>
      <c r="I12" s="12">
        <v>370430</v>
      </c>
      <c r="J12" s="13">
        <f t="shared" si="0"/>
        <v>43.580000000000005</v>
      </c>
      <c r="K12" s="12">
        <v>740856</v>
      </c>
      <c r="L12" s="12">
        <f>H12-553788</f>
        <v>296212</v>
      </c>
      <c r="M12" s="12">
        <v>187068</v>
      </c>
      <c r="N12" s="12">
        <f t="shared" si="1"/>
        <v>170000</v>
      </c>
      <c r="O12" s="14">
        <v>0.40899999999999997</v>
      </c>
      <c r="P12" s="12">
        <f t="shared" si="2"/>
        <v>724234.71882640594</v>
      </c>
      <c r="Q12" s="15">
        <f t="shared" si="3"/>
        <v>16.6261413871994</v>
      </c>
      <c r="R12" s="15">
        <f t="shared" si="4"/>
        <v>10.499976425737707</v>
      </c>
      <c r="S12" s="10" t="s">
        <v>24</v>
      </c>
    </row>
    <row r="13" spans="1:19" x14ac:dyDescent="0.25">
      <c r="A13" s="10" t="s">
        <v>1110</v>
      </c>
      <c r="B13" s="10" t="s">
        <v>1111</v>
      </c>
      <c r="C13" s="10" t="s">
        <v>1105</v>
      </c>
      <c r="D13" s="11">
        <v>45064</v>
      </c>
      <c r="E13" s="12">
        <v>850000</v>
      </c>
      <c r="F13" s="10" t="s">
        <v>29</v>
      </c>
      <c r="G13" s="10" t="s">
        <v>23</v>
      </c>
      <c r="H13" s="12">
        <v>850000</v>
      </c>
      <c r="I13" s="12">
        <v>409590</v>
      </c>
      <c r="J13" s="13">
        <f t="shared" si="0"/>
        <v>48.187058823529412</v>
      </c>
      <c r="K13" s="12">
        <v>819186</v>
      </c>
      <c r="L13" s="12">
        <f>H13-644009</f>
        <v>205991</v>
      </c>
      <c r="M13" s="12">
        <v>175177</v>
      </c>
      <c r="N13" s="12">
        <f t="shared" si="1"/>
        <v>170000</v>
      </c>
      <c r="O13" s="14">
        <v>0.38300000000000001</v>
      </c>
      <c r="P13" s="12">
        <f t="shared" si="2"/>
        <v>537835.50913838123</v>
      </c>
      <c r="Q13" s="15">
        <f t="shared" si="3"/>
        <v>12.347004342019771</v>
      </c>
      <c r="R13" s="15">
        <f t="shared" si="4"/>
        <v>10.50002757218518</v>
      </c>
      <c r="S13" s="10" t="s">
        <v>24</v>
      </c>
    </row>
    <row r="14" spans="1:19" x14ac:dyDescent="0.25">
      <c r="A14" s="10" t="s">
        <v>1112</v>
      </c>
      <c r="B14" s="10" t="s">
        <v>1113</v>
      </c>
      <c r="C14" s="10" t="s">
        <v>1105</v>
      </c>
      <c r="D14" s="11">
        <v>45441</v>
      </c>
      <c r="E14" s="12">
        <v>775000</v>
      </c>
      <c r="F14" s="10" t="s">
        <v>22</v>
      </c>
      <c r="G14" s="10" t="s">
        <v>23</v>
      </c>
      <c r="H14" s="12">
        <v>775000</v>
      </c>
      <c r="I14" s="12">
        <v>411740</v>
      </c>
      <c r="J14" s="13">
        <f t="shared" si="0"/>
        <v>53.127741935483876</v>
      </c>
      <c r="K14" s="12">
        <v>823488</v>
      </c>
      <c r="L14" s="12">
        <f>H14-631846</f>
        <v>143154</v>
      </c>
      <c r="M14" s="12">
        <v>191642</v>
      </c>
      <c r="N14" s="12">
        <f t="shared" si="1"/>
        <v>155000</v>
      </c>
      <c r="O14" s="14">
        <v>0.41899999999999998</v>
      </c>
      <c r="P14" s="12">
        <f t="shared" si="2"/>
        <v>341656.32458233892</v>
      </c>
      <c r="Q14" s="15">
        <f t="shared" si="3"/>
        <v>7.84334996745498</v>
      </c>
      <c r="R14" s="15">
        <f t="shared" si="4"/>
        <v>10.499987946288662</v>
      </c>
      <c r="S14" s="10" t="s">
        <v>24</v>
      </c>
    </row>
    <row r="15" spans="1:19" x14ac:dyDescent="0.25">
      <c r="A15" s="10" t="s">
        <v>1114</v>
      </c>
      <c r="B15" s="10" t="s">
        <v>1115</v>
      </c>
      <c r="C15" s="10" t="s">
        <v>1105</v>
      </c>
      <c r="D15" s="11">
        <v>45198</v>
      </c>
      <c r="E15" s="12">
        <v>850000</v>
      </c>
      <c r="F15" s="10" t="s">
        <v>22</v>
      </c>
      <c r="G15" s="10" t="s">
        <v>23</v>
      </c>
      <c r="H15" s="12">
        <v>850000</v>
      </c>
      <c r="I15" s="12">
        <v>356730</v>
      </c>
      <c r="J15" s="13">
        <f t="shared" si="0"/>
        <v>41.968235294117648</v>
      </c>
      <c r="K15" s="12">
        <v>713454</v>
      </c>
      <c r="L15" s="12">
        <f>H15-540564</f>
        <v>309436</v>
      </c>
      <c r="M15" s="12">
        <v>172890</v>
      </c>
      <c r="N15" s="12">
        <f t="shared" si="1"/>
        <v>170000</v>
      </c>
      <c r="O15" s="14">
        <v>0.378</v>
      </c>
      <c r="P15" s="12">
        <f t="shared" si="2"/>
        <v>818613.75661375665</v>
      </c>
      <c r="Q15" s="15">
        <f t="shared" si="3"/>
        <v>18.792785964503135</v>
      </c>
      <c r="R15" s="15">
        <f t="shared" si="4"/>
        <v>10.500021863658226</v>
      </c>
      <c r="S15" s="10" t="s">
        <v>24</v>
      </c>
    </row>
    <row r="16" spans="1:19" x14ac:dyDescent="0.25">
      <c r="A16" s="10" t="s">
        <v>1116</v>
      </c>
      <c r="B16" s="10" t="s">
        <v>1117</v>
      </c>
      <c r="C16" s="10" t="s">
        <v>1105</v>
      </c>
      <c r="D16" s="11">
        <v>45191</v>
      </c>
      <c r="E16" s="12">
        <v>883000</v>
      </c>
      <c r="F16" s="10" t="s">
        <v>22</v>
      </c>
      <c r="G16" s="10" t="s">
        <v>23</v>
      </c>
      <c r="H16" s="12">
        <v>883000</v>
      </c>
      <c r="I16" s="12">
        <v>393070</v>
      </c>
      <c r="J16" s="13">
        <f t="shared" si="0"/>
        <v>44.515288788221966</v>
      </c>
      <c r="K16" s="12">
        <v>786145</v>
      </c>
      <c r="L16" s="12">
        <f>H16-582154</f>
        <v>300846</v>
      </c>
      <c r="M16" s="12">
        <v>203991</v>
      </c>
      <c r="N16" s="12">
        <f t="shared" si="1"/>
        <v>176600</v>
      </c>
      <c r="O16" s="14">
        <v>0.44600000000000001</v>
      </c>
      <c r="P16" s="12">
        <f t="shared" si="2"/>
        <v>674542.60089686094</v>
      </c>
      <c r="Q16" s="15">
        <f t="shared" si="3"/>
        <v>15.485367330047312</v>
      </c>
      <c r="R16" s="15">
        <f t="shared" si="4"/>
        <v>10.49997529308577</v>
      </c>
      <c r="S16" s="10" t="s">
        <v>24</v>
      </c>
    </row>
    <row r="17" spans="1:19" x14ac:dyDescent="0.25">
      <c r="A17" s="10" t="s">
        <v>1118</v>
      </c>
      <c r="B17" s="10" t="s">
        <v>1119</v>
      </c>
      <c r="C17" s="10" t="s">
        <v>1105</v>
      </c>
      <c r="D17" s="11">
        <v>45128</v>
      </c>
      <c r="E17" s="12">
        <v>800000</v>
      </c>
      <c r="F17" s="10" t="s">
        <v>22</v>
      </c>
      <c r="G17" s="10" t="s">
        <v>23</v>
      </c>
      <c r="H17" s="12">
        <v>800000</v>
      </c>
      <c r="I17" s="12">
        <v>362640</v>
      </c>
      <c r="J17" s="13">
        <f t="shared" si="0"/>
        <v>45.33</v>
      </c>
      <c r="K17" s="12">
        <v>725286</v>
      </c>
      <c r="L17" s="12">
        <f>H17-529985</f>
        <v>270015</v>
      </c>
      <c r="M17" s="12">
        <v>195301</v>
      </c>
      <c r="N17" s="12">
        <f t="shared" si="1"/>
        <v>160000</v>
      </c>
      <c r="O17" s="14">
        <v>0.42699999999999999</v>
      </c>
      <c r="P17" s="12">
        <f t="shared" si="2"/>
        <v>632353.62997658085</v>
      </c>
      <c r="Q17" s="15">
        <f t="shared" si="3"/>
        <v>14.516841826826925</v>
      </c>
      <c r="R17" s="15">
        <f t="shared" si="4"/>
        <v>10.499986021595559</v>
      </c>
      <c r="S17" s="10" t="s">
        <v>24</v>
      </c>
    </row>
    <row r="18" spans="1:19" x14ac:dyDescent="0.25">
      <c r="A18" s="10" t="s">
        <v>1120</v>
      </c>
      <c r="B18" s="10" t="s">
        <v>1121</v>
      </c>
      <c r="C18" s="10" t="s">
        <v>1105</v>
      </c>
      <c r="D18" s="11">
        <v>45149</v>
      </c>
      <c r="E18" s="12">
        <v>927500</v>
      </c>
      <c r="F18" s="10" t="s">
        <v>22</v>
      </c>
      <c r="G18" s="10" t="s">
        <v>23</v>
      </c>
      <c r="H18" s="12">
        <v>927500</v>
      </c>
      <c r="I18" s="12">
        <v>427690</v>
      </c>
      <c r="J18" s="13">
        <f t="shared" si="0"/>
        <v>46.112129380053908</v>
      </c>
      <c r="K18" s="12">
        <v>855380</v>
      </c>
      <c r="L18" s="12">
        <f>H18-623384</f>
        <v>304116</v>
      </c>
      <c r="M18" s="12">
        <v>231996</v>
      </c>
      <c r="N18" s="12">
        <f t="shared" si="1"/>
        <v>185500</v>
      </c>
      <c r="O18" s="14">
        <v>0.53300000000000003</v>
      </c>
      <c r="P18" s="12">
        <f t="shared" si="2"/>
        <v>570574.10881801124</v>
      </c>
      <c r="Q18" s="15">
        <f t="shared" si="3"/>
        <v>13.098579173967201</v>
      </c>
      <c r="R18" s="15">
        <f t="shared" si="4"/>
        <v>9.9922989058244038</v>
      </c>
      <c r="S18" s="10" t="s">
        <v>24</v>
      </c>
    </row>
    <row r="19" spans="1:19" x14ac:dyDescent="0.25">
      <c r="A19" s="10" t="s">
        <v>1122</v>
      </c>
      <c r="B19" s="10" t="s">
        <v>1123</v>
      </c>
      <c r="C19" s="10" t="s">
        <v>1105</v>
      </c>
      <c r="D19" s="11">
        <v>45492</v>
      </c>
      <c r="E19" s="12">
        <v>579500</v>
      </c>
      <c r="F19" s="10" t="s">
        <v>22</v>
      </c>
      <c r="G19" s="10" t="s">
        <v>23</v>
      </c>
      <c r="H19" s="12">
        <v>579500</v>
      </c>
      <c r="I19" s="12">
        <v>251450</v>
      </c>
      <c r="J19" s="13">
        <f t="shared" si="0"/>
        <v>43.390854184641931</v>
      </c>
      <c r="K19" s="12">
        <v>502905</v>
      </c>
      <c r="L19" s="12">
        <f>H19-270107</f>
        <v>309393</v>
      </c>
      <c r="M19" s="12">
        <v>232798</v>
      </c>
      <c r="N19" s="12">
        <f t="shared" si="1"/>
        <v>115900</v>
      </c>
      <c r="O19" s="14">
        <v>0.54100000000000004</v>
      </c>
      <c r="P19" s="12">
        <f t="shared" si="2"/>
        <v>571890.94269870606</v>
      </c>
      <c r="Q19" s="15">
        <f t="shared" si="3"/>
        <v>13.128809520172315</v>
      </c>
      <c r="R19" s="15">
        <f t="shared" si="4"/>
        <v>9.8785706162617615</v>
      </c>
      <c r="S19" s="10" t="s">
        <v>24</v>
      </c>
    </row>
    <row r="20" spans="1:19" x14ac:dyDescent="0.25">
      <c r="A20" s="10" t="s">
        <v>1124</v>
      </c>
      <c r="B20" s="10" t="s">
        <v>1125</v>
      </c>
      <c r="C20" s="10" t="s">
        <v>1105</v>
      </c>
      <c r="D20" s="11">
        <v>45699</v>
      </c>
      <c r="E20" s="12">
        <v>654000</v>
      </c>
      <c r="F20" s="10" t="s">
        <v>22</v>
      </c>
      <c r="G20" s="10" t="s">
        <v>23</v>
      </c>
      <c r="H20" s="12">
        <v>654000</v>
      </c>
      <c r="I20" s="12">
        <v>300640</v>
      </c>
      <c r="J20" s="13">
        <f t="shared" si="0"/>
        <v>45.969418960244646</v>
      </c>
      <c r="K20" s="12">
        <v>601274</v>
      </c>
      <c r="L20" s="12">
        <f>H20-348639</f>
        <v>305361</v>
      </c>
      <c r="M20" s="12">
        <v>252635</v>
      </c>
      <c r="N20" s="12">
        <f t="shared" si="1"/>
        <v>130800</v>
      </c>
      <c r="O20" s="14">
        <v>0.73899999999999999</v>
      </c>
      <c r="P20" s="12">
        <f t="shared" si="2"/>
        <v>413208.38971583219</v>
      </c>
      <c r="Q20" s="15">
        <f t="shared" si="3"/>
        <v>9.4859593598675893</v>
      </c>
      <c r="R20" s="15">
        <f t="shared" si="4"/>
        <v>7.8480400014414036</v>
      </c>
      <c r="S20" s="10" t="s">
        <v>24</v>
      </c>
    </row>
    <row r="21" spans="1:19" x14ac:dyDescent="0.25">
      <c r="A21" s="10" t="s">
        <v>1126</v>
      </c>
      <c r="B21" s="10" t="s">
        <v>1127</v>
      </c>
      <c r="C21" s="10" t="s">
        <v>1105</v>
      </c>
      <c r="D21" s="11">
        <v>45497</v>
      </c>
      <c r="E21" s="12">
        <v>681000</v>
      </c>
      <c r="F21" s="10" t="s">
        <v>29</v>
      </c>
      <c r="G21" s="10" t="s">
        <v>23</v>
      </c>
      <c r="H21" s="12">
        <v>681000</v>
      </c>
      <c r="I21" s="12">
        <v>295120</v>
      </c>
      <c r="J21" s="13">
        <f t="shared" si="0"/>
        <v>43.336270190895746</v>
      </c>
      <c r="K21" s="12">
        <v>590246</v>
      </c>
      <c r="L21" s="12">
        <f>H21-326312</f>
        <v>354688</v>
      </c>
      <c r="M21" s="12">
        <v>263934</v>
      </c>
      <c r="N21" s="12">
        <f t="shared" si="1"/>
        <v>136200</v>
      </c>
      <c r="O21" s="14">
        <v>1.1060000000000001</v>
      </c>
      <c r="P21" s="12">
        <f t="shared" si="2"/>
        <v>320694.39421338151</v>
      </c>
      <c r="Q21" s="15">
        <f t="shared" si="3"/>
        <v>7.3621302620151861</v>
      </c>
      <c r="R21" s="15">
        <f t="shared" si="4"/>
        <v>5.4783823771165538</v>
      </c>
      <c r="S21" s="10" t="s">
        <v>24</v>
      </c>
    </row>
    <row r="22" spans="1:19" x14ac:dyDescent="0.25">
      <c r="A22" s="10" t="s">
        <v>1128</v>
      </c>
      <c r="B22" s="10" t="s">
        <v>1129</v>
      </c>
      <c r="C22" s="10" t="s">
        <v>1105</v>
      </c>
      <c r="D22" s="11">
        <v>45506</v>
      </c>
      <c r="E22" s="12">
        <v>840000</v>
      </c>
      <c r="F22" s="10" t="s">
        <v>22</v>
      </c>
      <c r="G22" s="10" t="s">
        <v>23</v>
      </c>
      <c r="H22" s="12">
        <v>840000</v>
      </c>
      <c r="I22" s="12">
        <v>336060</v>
      </c>
      <c r="J22" s="13">
        <f t="shared" si="0"/>
        <v>40.00714285714286</v>
      </c>
      <c r="K22" s="12">
        <v>672123</v>
      </c>
      <c r="L22" s="12">
        <f>H22-461728</f>
        <v>378272</v>
      </c>
      <c r="M22" s="12">
        <v>210395</v>
      </c>
      <c r="N22" s="12">
        <f t="shared" si="1"/>
        <v>168000</v>
      </c>
      <c r="O22" s="14">
        <v>0.46</v>
      </c>
      <c r="P22" s="12">
        <f t="shared" si="2"/>
        <v>822330.43478260865</v>
      </c>
      <c r="Q22" s="15">
        <f t="shared" si="3"/>
        <v>18.878109154788994</v>
      </c>
      <c r="R22" s="15">
        <f t="shared" si="4"/>
        <v>10.500009981235278</v>
      </c>
      <c r="S22" s="10" t="s">
        <v>24</v>
      </c>
    </row>
    <row r="23" spans="1:19" x14ac:dyDescent="0.25">
      <c r="A23" s="10" t="s">
        <v>1130</v>
      </c>
      <c r="B23" s="10" t="s">
        <v>1131</v>
      </c>
      <c r="C23" s="10" t="s">
        <v>1105</v>
      </c>
      <c r="D23" s="11">
        <v>45100</v>
      </c>
      <c r="E23" s="12">
        <v>819000</v>
      </c>
      <c r="F23" s="10" t="s">
        <v>22</v>
      </c>
      <c r="G23" s="10" t="s">
        <v>23</v>
      </c>
      <c r="H23" s="12">
        <v>819000</v>
      </c>
      <c r="I23" s="12">
        <v>379540</v>
      </c>
      <c r="J23" s="13">
        <f t="shared" si="0"/>
        <v>46.341880341880341</v>
      </c>
      <c r="K23" s="12">
        <v>759074</v>
      </c>
      <c r="L23" s="12">
        <f>H23-545020</f>
        <v>273980</v>
      </c>
      <c r="M23" s="12">
        <v>214054</v>
      </c>
      <c r="N23" s="12">
        <f t="shared" si="1"/>
        <v>163800</v>
      </c>
      <c r="O23" s="14">
        <v>0.46800000000000003</v>
      </c>
      <c r="P23" s="12">
        <f t="shared" si="2"/>
        <v>585427.35042735038</v>
      </c>
      <c r="Q23" s="15">
        <f t="shared" si="3"/>
        <v>13.439562681986922</v>
      </c>
      <c r="R23" s="15">
        <f t="shared" si="4"/>
        <v>10.500007848492697</v>
      </c>
      <c r="S23" s="10" t="s">
        <v>24</v>
      </c>
    </row>
    <row r="24" spans="1:19" x14ac:dyDescent="0.25">
      <c r="A24" s="10" t="s">
        <v>1132</v>
      </c>
      <c r="B24" s="10" t="s">
        <v>1133</v>
      </c>
      <c r="C24" s="10" t="s">
        <v>1105</v>
      </c>
      <c r="D24" s="11">
        <v>45349</v>
      </c>
      <c r="E24" s="12">
        <v>930000</v>
      </c>
      <c r="F24" s="10" t="s">
        <v>22</v>
      </c>
      <c r="G24" s="10" t="s">
        <v>23</v>
      </c>
      <c r="H24" s="12">
        <v>930000</v>
      </c>
      <c r="I24" s="12">
        <v>368260</v>
      </c>
      <c r="J24" s="13">
        <f t="shared" si="0"/>
        <v>39.597849462365595</v>
      </c>
      <c r="K24" s="12">
        <v>736511</v>
      </c>
      <c r="L24" s="12">
        <f>H24-518341</f>
        <v>411659</v>
      </c>
      <c r="M24" s="12">
        <v>218170</v>
      </c>
      <c r="N24" s="12">
        <f t="shared" si="1"/>
        <v>186000</v>
      </c>
      <c r="O24" s="14">
        <v>0.47699999999999998</v>
      </c>
      <c r="P24" s="12">
        <f t="shared" si="2"/>
        <v>863016.77148846968</v>
      </c>
      <c r="Q24" s="15">
        <f t="shared" si="3"/>
        <v>19.81213892305945</v>
      </c>
      <c r="R24" s="15">
        <f t="shared" si="4"/>
        <v>10.499987486837115</v>
      </c>
      <c r="S24" s="10" t="s">
        <v>24</v>
      </c>
    </row>
    <row r="25" spans="1:19" x14ac:dyDescent="0.25">
      <c r="A25" s="10" t="s">
        <v>1134</v>
      </c>
      <c r="B25" s="10" t="s">
        <v>1135</v>
      </c>
      <c r="C25" s="10" t="s">
        <v>1105</v>
      </c>
      <c r="D25" s="11">
        <v>45061</v>
      </c>
      <c r="E25" s="12">
        <v>775000</v>
      </c>
      <c r="F25" s="10" t="s">
        <v>29</v>
      </c>
      <c r="G25" s="10" t="s">
        <v>23</v>
      </c>
      <c r="H25" s="12">
        <v>775000</v>
      </c>
      <c r="I25" s="12">
        <v>331840</v>
      </c>
      <c r="J25" s="13">
        <f t="shared" si="0"/>
        <v>42.818064516129034</v>
      </c>
      <c r="K25" s="12">
        <v>663686</v>
      </c>
      <c r="L25" s="12">
        <f>H25-456035</f>
        <v>318965</v>
      </c>
      <c r="M25" s="12">
        <v>207651</v>
      </c>
      <c r="N25" s="12">
        <f t="shared" si="1"/>
        <v>155000</v>
      </c>
      <c r="O25" s="14">
        <v>0.45400000000000001</v>
      </c>
      <c r="P25" s="12">
        <f t="shared" si="2"/>
        <v>702566.0792951542</v>
      </c>
      <c r="Q25" s="15">
        <f t="shared" si="3"/>
        <v>16.128697871789583</v>
      </c>
      <c r="R25" s="15">
        <f t="shared" si="4"/>
        <v>10.500024271550101</v>
      </c>
      <c r="S25" s="10" t="s">
        <v>24</v>
      </c>
    </row>
    <row r="26" spans="1:19" x14ac:dyDescent="0.25">
      <c r="A26" s="10" t="s">
        <v>1136</v>
      </c>
      <c r="B26" s="10" t="s">
        <v>1137</v>
      </c>
      <c r="C26" s="10" t="s">
        <v>1105</v>
      </c>
      <c r="D26" s="11">
        <v>45642</v>
      </c>
      <c r="E26" s="12">
        <v>600000</v>
      </c>
      <c r="F26" s="10" t="s">
        <v>29</v>
      </c>
      <c r="G26" s="10" t="s">
        <v>23</v>
      </c>
      <c r="H26" s="12">
        <v>600000</v>
      </c>
      <c r="I26" s="12">
        <v>363870</v>
      </c>
      <c r="J26" s="13">
        <f t="shared" si="0"/>
        <v>60.645000000000003</v>
      </c>
      <c r="K26" s="12">
        <v>727746</v>
      </c>
      <c r="L26" s="12">
        <f>H26-516894</f>
        <v>83106</v>
      </c>
      <c r="M26" s="12">
        <v>210852</v>
      </c>
      <c r="N26" s="12">
        <f t="shared" si="1"/>
        <v>120000</v>
      </c>
      <c r="O26" s="14">
        <v>0.46100000000000002</v>
      </c>
      <c r="P26" s="12">
        <f t="shared" si="2"/>
        <v>180273.31887201735</v>
      </c>
      <c r="Q26" s="15">
        <f t="shared" si="3"/>
        <v>4.1385059428837776</v>
      </c>
      <c r="R26" s="15">
        <f t="shared" si="4"/>
        <v>10.499991036374393</v>
      </c>
      <c r="S26" s="10" t="s">
        <v>24</v>
      </c>
    </row>
    <row r="27" spans="1:19" x14ac:dyDescent="0.25">
      <c r="A27" s="10" t="s">
        <v>1138</v>
      </c>
      <c r="B27" s="10" t="s">
        <v>1139</v>
      </c>
      <c r="C27" s="10" t="s">
        <v>1105</v>
      </c>
      <c r="D27" s="11">
        <v>45336</v>
      </c>
      <c r="E27" s="12">
        <v>945000</v>
      </c>
      <c r="F27" s="10" t="s">
        <v>22</v>
      </c>
      <c r="G27" s="10" t="s">
        <v>23</v>
      </c>
      <c r="H27" s="12">
        <v>945000</v>
      </c>
      <c r="I27" s="12">
        <v>424230</v>
      </c>
      <c r="J27" s="13">
        <f t="shared" si="0"/>
        <v>44.892063492063492</v>
      </c>
      <c r="K27" s="12">
        <v>848454</v>
      </c>
      <c r="L27" s="12">
        <f>H27-627997</f>
        <v>317003</v>
      </c>
      <c r="M27" s="12">
        <v>220457</v>
      </c>
      <c r="N27" s="12">
        <f t="shared" si="1"/>
        <v>189000</v>
      </c>
      <c r="O27" s="14">
        <v>0.48199999999999998</v>
      </c>
      <c r="P27" s="12">
        <f t="shared" si="2"/>
        <v>657682.57261410786</v>
      </c>
      <c r="Q27" s="15">
        <f t="shared" si="3"/>
        <v>15.098314339166848</v>
      </c>
      <c r="R27" s="15">
        <f t="shared" si="4"/>
        <v>10.499992379471822</v>
      </c>
      <c r="S27" s="10" t="s">
        <v>24</v>
      </c>
    </row>
    <row r="28" spans="1:19" x14ac:dyDescent="0.25">
      <c r="A28" s="10" t="s">
        <v>1140</v>
      </c>
      <c r="B28" s="10" t="s">
        <v>1141</v>
      </c>
      <c r="C28" s="10" t="s">
        <v>1105</v>
      </c>
      <c r="D28" s="11">
        <v>45420</v>
      </c>
      <c r="E28" s="12">
        <v>840000</v>
      </c>
      <c r="F28" s="10" t="s">
        <v>22</v>
      </c>
      <c r="G28" s="10" t="s">
        <v>23</v>
      </c>
      <c r="H28" s="12">
        <v>840000</v>
      </c>
      <c r="I28" s="12">
        <v>329620</v>
      </c>
      <c r="J28" s="13">
        <f t="shared" si="0"/>
        <v>39.240476190476194</v>
      </c>
      <c r="K28" s="12">
        <v>659241</v>
      </c>
      <c r="L28" s="12">
        <f>H28-429349</f>
        <v>410651</v>
      </c>
      <c r="M28" s="12">
        <v>229892</v>
      </c>
      <c r="N28" s="12">
        <f t="shared" si="1"/>
        <v>168000</v>
      </c>
      <c r="O28" s="14">
        <v>0.51200000000000001</v>
      </c>
      <c r="P28" s="12">
        <f t="shared" si="2"/>
        <v>802052.734375</v>
      </c>
      <c r="Q28" s="15">
        <f t="shared" si="3"/>
        <v>18.412597207874196</v>
      </c>
      <c r="R28" s="15">
        <f t="shared" si="4"/>
        <v>10.307801021579431</v>
      </c>
      <c r="S28" s="10" t="s">
        <v>24</v>
      </c>
    </row>
    <row r="29" spans="1:19" x14ac:dyDescent="0.25">
      <c r="A29" s="10" t="s">
        <v>1142</v>
      </c>
      <c r="B29" s="10" t="s">
        <v>1143</v>
      </c>
      <c r="C29" s="10" t="s">
        <v>1105</v>
      </c>
      <c r="D29" s="11">
        <v>45373</v>
      </c>
      <c r="E29" s="12">
        <v>815000</v>
      </c>
      <c r="F29" s="10" t="s">
        <v>29</v>
      </c>
      <c r="G29" s="10" t="s">
        <v>23</v>
      </c>
      <c r="H29" s="12">
        <v>815000</v>
      </c>
      <c r="I29" s="12">
        <v>319560</v>
      </c>
      <c r="J29" s="13">
        <f t="shared" si="0"/>
        <v>39.209815950920245</v>
      </c>
      <c r="K29" s="12">
        <v>639116</v>
      </c>
      <c r="L29" s="12">
        <f>H29-426892</f>
        <v>388108</v>
      </c>
      <c r="M29" s="12">
        <v>212224</v>
      </c>
      <c r="N29" s="12">
        <f t="shared" si="1"/>
        <v>163000</v>
      </c>
      <c r="O29" s="14">
        <v>0.46400000000000002</v>
      </c>
      <c r="P29" s="12">
        <f t="shared" si="2"/>
        <v>836439.6551724138</v>
      </c>
      <c r="Q29" s="15">
        <f t="shared" si="3"/>
        <v>19.202012285868086</v>
      </c>
      <c r="R29" s="15">
        <f t="shared" si="4"/>
        <v>10.499984167695766</v>
      </c>
      <c r="S29" s="10" t="s">
        <v>24</v>
      </c>
    </row>
    <row r="30" spans="1:19" x14ac:dyDescent="0.25">
      <c r="A30" s="10" t="s">
        <v>1144</v>
      </c>
      <c r="B30" s="10" t="s">
        <v>1145</v>
      </c>
      <c r="C30" s="10" t="s">
        <v>1105</v>
      </c>
      <c r="D30" s="11">
        <v>45036</v>
      </c>
      <c r="E30" s="12">
        <v>775000</v>
      </c>
      <c r="F30" s="10" t="s">
        <v>29</v>
      </c>
      <c r="G30" s="10" t="s">
        <v>23</v>
      </c>
      <c r="H30" s="12">
        <v>775000</v>
      </c>
      <c r="I30" s="12">
        <v>319270</v>
      </c>
      <c r="J30" s="13">
        <f t="shared" si="0"/>
        <v>41.196129032258064</v>
      </c>
      <c r="K30" s="12">
        <v>638545</v>
      </c>
      <c r="L30" s="12">
        <f>H30-401239</f>
        <v>373761</v>
      </c>
      <c r="M30" s="12">
        <v>237306</v>
      </c>
      <c r="N30" s="12">
        <f t="shared" si="1"/>
        <v>155000</v>
      </c>
      <c r="O30" s="14">
        <v>0.58599999999999997</v>
      </c>
      <c r="P30" s="12">
        <f t="shared" si="2"/>
        <v>637817.40614334471</v>
      </c>
      <c r="Q30" s="15">
        <f t="shared" si="3"/>
        <v>14.642272868304516</v>
      </c>
      <c r="R30" s="15">
        <f t="shared" si="4"/>
        <v>9.2965804492332573</v>
      </c>
      <c r="S30" s="10" t="s">
        <v>24</v>
      </c>
    </row>
    <row r="31" spans="1:19" x14ac:dyDescent="0.25">
      <c r="A31" s="10" t="s">
        <v>1146</v>
      </c>
      <c r="B31" s="10" t="s">
        <v>1147</v>
      </c>
      <c r="C31" s="10" t="s">
        <v>1105</v>
      </c>
      <c r="D31" s="11">
        <v>45617</v>
      </c>
      <c r="E31" s="12">
        <v>682000</v>
      </c>
      <c r="F31" s="10" t="s">
        <v>29</v>
      </c>
      <c r="G31" s="10" t="s">
        <v>23</v>
      </c>
      <c r="H31" s="12">
        <v>682000</v>
      </c>
      <c r="I31" s="12">
        <v>336830</v>
      </c>
      <c r="J31" s="13">
        <f t="shared" si="0"/>
        <v>49.388563049853374</v>
      </c>
      <c r="K31" s="12">
        <v>673662</v>
      </c>
      <c r="L31" s="12">
        <f>H31-447716</f>
        <v>234284</v>
      </c>
      <c r="M31" s="12">
        <v>225946</v>
      </c>
      <c r="N31" s="12">
        <f t="shared" si="1"/>
        <v>136400</v>
      </c>
      <c r="O31" s="14">
        <v>0.49399999999999999</v>
      </c>
      <c r="P31" s="12">
        <f t="shared" si="2"/>
        <v>474259.1093117409</v>
      </c>
      <c r="Q31" s="15">
        <f t="shared" si="3"/>
        <v>10.887491031031701</v>
      </c>
      <c r="R31" s="15">
        <f t="shared" si="4"/>
        <v>10.500013011974735</v>
      </c>
      <c r="S31" s="10" t="s">
        <v>24</v>
      </c>
    </row>
    <row r="32" spans="1:19" ht="15.75" thickBot="1" x14ac:dyDescent="0.3">
      <c r="A32" s="16"/>
      <c r="B32" s="16"/>
      <c r="C32" s="16"/>
      <c r="D32" s="17"/>
      <c r="E32" s="18"/>
      <c r="F32" s="16"/>
      <c r="G32" s="16"/>
      <c r="H32" s="18"/>
      <c r="I32" s="18"/>
      <c r="J32" s="19"/>
      <c r="K32" s="18"/>
      <c r="L32" s="18">
        <f>AVERAGE(L10:L31)</f>
        <v>293229.77272727271</v>
      </c>
      <c r="M32" s="18">
        <f>AVERAGE(M10:M31)</f>
        <v>209494.22727272726</v>
      </c>
      <c r="N32" s="18">
        <f>AVERAGE(N10:N31)</f>
        <v>158172.72727272726</v>
      </c>
      <c r="O32" s="20"/>
      <c r="P32" s="18"/>
      <c r="Q32" s="21">
        <f>AVERAGE(Q10:Q31)</f>
        <v>13.867241883625077</v>
      </c>
      <c r="R32" s="21">
        <f>AVERAGE(R10:R31)</f>
        <v>9.8932559798436515</v>
      </c>
      <c r="S32" s="16"/>
    </row>
    <row r="33" spans="1:19" ht="15.75" thickTop="1" x14ac:dyDescent="0.25">
      <c r="A33" s="10"/>
      <c r="B33" s="10"/>
      <c r="C33" s="10"/>
      <c r="D33" s="11"/>
      <c r="E33" s="12"/>
      <c r="F33" s="10"/>
      <c r="G33" s="10"/>
      <c r="H33" s="12"/>
      <c r="I33" s="12"/>
      <c r="J33" s="13"/>
      <c r="K33" s="12"/>
      <c r="L33" s="12"/>
      <c r="M33" s="12"/>
      <c r="N33" s="12"/>
      <c r="O33" s="14"/>
      <c r="P33" s="12"/>
      <c r="Q33" s="15"/>
      <c r="R33" s="15"/>
      <c r="S33" s="10"/>
    </row>
    <row r="34" spans="1:19" x14ac:dyDescent="0.25">
      <c r="A34" s="10"/>
      <c r="B34" s="10"/>
      <c r="C34" s="10"/>
      <c r="D34" s="11"/>
      <c r="E34" s="12"/>
      <c r="F34" s="10"/>
      <c r="G34" s="10"/>
      <c r="H34" s="12"/>
      <c r="I34" s="12"/>
      <c r="J34" s="13"/>
      <c r="K34" s="12"/>
      <c r="L34" s="12"/>
      <c r="M34" s="12"/>
      <c r="N34" s="12"/>
      <c r="O34" s="14"/>
      <c r="P34" s="12"/>
      <c r="Q34" s="15"/>
      <c r="R34" s="15"/>
      <c r="S34" s="10"/>
    </row>
    <row r="35" spans="1:19" x14ac:dyDescent="0.25">
      <c r="A35" s="10" t="s">
        <v>1148</v>
      </c>
      <c r="B35" s="10" t="s">
        <v>1149</v>
      </c>
      <c r="C35" s="10" t="s">
        <v>1150</v>
      </c>
      <c r="D35" s="11">
        <v>45490</v>
      </c>
      <c r="E35" s="12">
        <v>2000000</v>
      </c>
      <c r="F35" s="10" t="s">
        <v>29</v>
      </c>
      <c r="G35" s="10" t="s">
        <v>23</v>
      </c>
      <c r="H35" s="12">
        <v>2000000</v>
      </c>
      <c r="I35" s="12">
        <v>824590</v>
      </c>
      <c r="J35" s="13">
        <f t="shared" ref="J35:J40" si="5">I35/H35*100</f>
        <v>41.229500000000002</v>
      </c>
      <c r="K35" s="12">
        <v>1649170</v>
      </c>
      <c r="L35" s="12">
        <f>H35-1293276</f>
        <v>706724</v>
      </c>
      <c r="M35" s="12">
        <v>355894</v>
      </c>
      <c r="N35" s="12">
        <f t="shared" ref="N35:N40" si="6">E35*0.2</f>
        <v>400000</v>
      </c>
      <c r="O35" s="14">
        <v>0.69599999999999995</v>
      </c>
      <c r="P35" s="12">
        <f t="shared" ref="P35:P40" si="7">L35/O35</f>
        <v>1015408.0459770116</v>
      </c>
      <c r="Q35" s="15">
        <f t="shared" ref="Q35:Q40" si="8">L35/O35/43560</f>
        <v>23.310561202410735</v>
      </c>
      <c r="R35" s="15">
        <f t="shared" ref="R35:R40" si="9">M35/O35/43560</f>
        <v>11.738796006037386</v>
      </c>
      <c r="S35" s="10" t="s">
        <v>24</v>
      </c>
    </row>
    <row r="36" spans="1:19" x14ac:dyDescent="0.25">
      <c r="A36" s="10" t="s">
        <v>1151</v>
      </c>
      <c r="B36" s="10" t="s">
        <v>1152</v>
      </c>
      <c r="C36" s="10" t="s">
        <v>1150</v>
      </c>
      <c r="D36" s="11">
        <v>45498</v>
      </c>
      <c r="E36" s="12">
        <v>1343000</v>
      </c>
      <c r="F36" s="10" t="s">
        <v>22</v>
      </c>
      <c r="G36" s="10" t="s">
        <v>23</v>
      </c>
      <c r="H36" s="12">
        <v>1343000</v>
      </c>
      <c r="I36" s="12">
        <v>650830</v>
      </c>
      <c r="J36" s="13">
        <f t="shared" si="5"/>
        <v>48.46090841399851</v>
      </c>
      <c r="K36" s="12">
        <v>1301652</v>
      </c>
      <c r="L36" s="12">
        <f>H36-924413</f>
        <v>418587</v>
      </c>
      <c r="M36" s="12">
        <v>377239</v>
      </c>
      <c r="N36" s="12">
        <f t="shared" si="6"/>
        <v>268600</v>
      </c>
      <c r="O36" s="14">
        <v>0.877</v>
      </c>
      <c r="P36" s="12">
        <f t="shared" si="7"/>
        <v>477294.18472063856</v>
      </c>
      <c r="Q36" s="15">
        <f t="shared" si="8"/>
        <v>10.957166775037615</v>
      </c>
      <c r="R36" s="15">
        <f t="shared" si="9"/>
        <v>9.8748184655720674</v>
      </c>
      <c r="S36" s="10" t="s">
        <v>24</v>
      </c>
    </row>
    <row r="37" spans="1:19" x14ac:dyDescent="0.25">
      <c r="A37" s="10" t="s">
        <v>1153</v>
      </c>
      <c r="B37" s="10" t="s">
        <v>1154</v>
      </c>
      <c r="C37" s="10" t="s">
        <v>1150</v>
      </c>
      <c r="D37" s="11">
        <v>45376</v>
      </c>
      <c r="E37" s="12">
        <v>1350000</v>
      </c>
      <c r="F37" s="10" t="s">
        <v>29</v>
      </c>
      <c r="G37" s="10" t="s">
        <v>23</v>
      </c>
      <c r="H37" s="12">
        <v>1350000</v>
      </c>
      <c r="I37" s="12">
        <v>830750</v>
      </c>
      <c r="J37" s="13">
        <f t="shared" si="5"/>
        <v>61.537037037037038</v>
      </c>
      <c r="K37" s="12">
        <v>1661497</v>
      </c>
      <c r="L37" s="12">
        <f>H37-1275904</f>
        <v>74096</v>
      </c>
      <c r="M37" s="12">
        <v>385593</v>
      </c>
      <c r="N37" s="12">
        <f t="shared" si="6"/>
        <v>270000</v>
      </c>
      <c r="O37" s="14">
        <v>0.61599999999999999</v>
      </c>
      <c r="P37" s="12">
        <f t="shared" si="7"/>
        <v>120285.71428571429</v>
      </c>
      <c r="Q37" s="15">
        <f t="shared" si="8"/>
        <v>2.7613800341073071</v>
      </c>
      <c r="R37" s="15">
        <f t="shared" si="9"/>
        <v>14.37012539801796</v>
      </c>
      <c r="S37" s="10" t="s">
        <v>24</v>
      </c>
    </row>
    <row r="38" spans="1:19" x14ac:dyDescent="0.25">
      <c r="A38" s="10" t="s">
        <v>1155</v>
      </c>
      <c r="B38" s="10" t="s">
        <v>1156</v>
      </c>
      <c r="C38" s="10" t="s">
        <v>1150</v>
      </c>
      <c r="D38" s="11">
        <v>45533</v>
      </c>
      <c r="E38" s="12">
        <v>1700000</v>
      </c>
      <c r="F38" s="10" t="s">
        <v>22</v>
      </c>
      <c r="G38" s="10" t="s">
        <v>23</v>
      </c>
      <c r="H38" s="12">
        <v>1700000</v>
      </c>
      <c r="I38" s="12">
        <v>606950</v>
      </c>
      <c r="J38" s="13">
        <f t="shared" si="5"/>
        <v>35.702941176470588</v>
      </c>
      <c r="K38" s="12">
        <v>1213909</v>
      </c>
      <c r="L38" s="12">
        <f>H38-917923</f>
        <v>782077</v>
      </c>
      <c r="M38" s="12">
        <v>295986</v>
      </c>
      <c r="N38" s="12">
        <f t="shared" si="6"/>
        <v>340000</v>
      </c>
      <c r="O38" s="14">
        <v>0.70599999999999996</v>
      </c>
      <c r="P38" s="12">
        <f t="shared" si="7"/>
        <v>1107757.790368272</v>
      </c>
      <c r="Q38" s="15">
        <f t="shared" si="8"/>
        <v>25.430619613596694</v>
      </c>
      <c r="R38" s="15">
        <f t="shared" si="9"/>
        <v>9.624509321908242</v>
      </c>
      <c r="S38" s="10" t="s">
        <v>24</v>
      </c>
    </row>
    <row r="39" spans="1:19" x14ac:dyDescent="0.25">
      <c r="A39" s="10" t="s">
        <v>1157</v>
      </c>
      <c r="B39" s="10" t="s">
        <v>1158</v>
      </c>
      <c r="C39" s="10" t="s">
        <v>1150</v>
      </c>
      <c r="D39" s="11">
        <v>45156</v>
      </c>
      <c r="E39" s="12">
        <v>1850000</v>
      </c>
      <c r="F39" s="10" t="s">
        <v>22</v>
      </c>
      <c r="G39" s="10" t="s">
        <v>23</v>
      </c>
      <c r="H39" s="12">
        <v>1850000</v>
      </c>
      <c r="I39" s="12">
        <v>942710</v>
      </c>
      <c r="J39" s="13">
        <f t="shared" si="5"/>
        <v>50.957297297297302</v>
      </c>
      <c r="K39" s="12">
        <v>1885429</v>
      </c>
      <c r="L39" s="12">
        <f>H39-1523010</f>
        <v>326990</v>
      </c>
      <c r="M39" s="12">
        <v>362419</v>
      </c>
      <c r="N39" s="12">
        <f t="shared" si="6"/>
        <v>370000</v>
      </c>
      <c r="O39" s="14">
        <v>0.56000000000000005</v>
      </c>
      <c r="P39" s="12">
        <f t="shared" si="7"/>
        <v>583910.7142857142</v>
      </c>
      <c r="Q39" s="15">
        <f t="shared" si="8"/>
        <v>13.404745507018232</v>
      </c>
      <c r="R39" s="15">
        <f t="shared" si="9"/>
        <v>14.857134658271022</v>
      </c>
      <c r="S39" s="10" t="s">
        <v>24</v>
      </c>
    </row>
    <row r="40" spans="1:19" x14ac:dyDescent="0.25">
      <c r="A40" s="10" t="s">
        <v>1159</v>
      </c>
      <c r="B40" s="10" t="s">
        <v>1160</v>
      </c>
      <c r="C40" s="10" t="s">
        <v>1150</v>
      </c>
      <c r="D40" s="11">
        <v>45273</v>
      </c>
      <c r="E40" s="12">
        <v>1500000</v>
      </c>
      <c r="F40" s="10" t="s">
        <v>29</v>
      </c>
      <c r="G40" s="10" t="s">
        <v>23</v>
      </c>
      <c r="H40" s="12">
        <v>1500000</v>
      </c>
      <c r="I40" s="12">
        <v>644960</v>
      </c>
      <c r="J40" s="13">
        <f t="shared" si="5"/>
        <v>42.99733333333333</v>
      </c>
      <c r="K40" s="12">
        <v>1289924</v>
      </c>
      <c r="L40" s="12">
        <f>H40-956385</f>
        <v>543615</v>
      </c>
      <c r="M40" s="12">
        <v>333539</v>
      </c>
      <c r="N40" s="12">
        <f t="shared" si="6"/>
        <v>300000</v>
      </c>
      <c r="O40" s="14">
        <v>0.49399999999999999</v>
      </c>
      <c r="P40" s="12">
        <f t="shared" si="7"/>
        <v>1100435.2226720648</v>
      </c>
      <c r="Q40" s="15">
        <f t="shared" si="8"/>
        <v>25.262516590267786</v>
      </c>
      <c r="R40" s="15">
        <f t="shared" si="9"/>
        <v>15.500003717707067</v>
      </c>
      <c r="S40" s="10" t="s">
        <v>97</v>
      </c>
    </row>
    <row r="41" spans="1:19" ht="15.75" thickBot="1" x14ac:dyDescent="0.3">
      <c r="A41" s="16"/>
      <c r="B41" s="16"/>
      <c r="C41" s="16"/>
      <c r="D41" s="17"/>
      <c r="E41" s="18"/>
      <c r="F41" s="16"/>
      <c r="G41" s="16"/>
      <c r="H41" s="18"/>
      <c r="I41" s="18"/>
      <c r="J41" s="19"/>
      <c r="K41" s="18"/>
      <c r="L41" s="18">
        <f>AVERAGE(L35:L40)</f>
        <v>475348.16666666669</v>
      </c>
      <c r="M41" s="18">
        <f>AVERAGE(M35:M40)</f>
        <v>351778.33333333331</v>
      </c>
      <c r="N41" s="18">
        <f>AVERAGE(N35:N40)</f>
        <v>324766.66666666669</v>
      </c>
      <c r="O41" s="20"/>
      <c r="P41" s="18"/>
      <c r="Q41" s="21">
        <f>AVERAGE(Q35:Q40)</f>
        <v>16.85449828707306</v>
      </c>
      <c r="R41" s="21">
        <f>AVERAGE(R35:R40)</f>
        <v>12.660897927918958</v>
      </c>
      <c r="S41" s="16"/>
    </row>
    <row r="42" spans="1:19" ht="15.75" thickTop="1" x14ac:dyDescent="0.2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D5594-EA86-4451-8422-91EEC493D63B}">
  <dimension ref="A1:S53"/>
  <sheetViews>
    <sheetView topLeftCell="A25" workbookViewId="0">
      <selection activeCell="E34" sqref="E34"/>
    </sheetView>
  </sheetViews>
  <sheetFormatPr defaultRowHeight="15" x14ac:dyDescent="0.25"/>
  <cols>
    <col min="1" max="1" width="12.42578125" bestFit="1" customWidth="1"/>
    <col min="2" max="2" width="16.5703125" bestFit="1" customWidth="1"/>
    <col min="13" max="13" width="10.8554687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180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1161</v>
      </c>
      <c r="B2" s="10" t="s">
        <v>1162</v>
      </c>
      <c r="C2" s="10" t="s">
        <v>1163</v>
      </c>
      <c r="D2" s="11">
        <v>45639</v>
      </c>
      <c r="E2" s="12">
        <v>875000</v>
      </c>
      <c r="F2" s="10" t="s">
        <v>22</v>
      </c>
      <c r="G2" s="10" t="s">
        <v>23</v>
      </c>
      <c r="H2" s="12">
        <v>875000</v>
      </c>
      <c r="I2" s="12">
        <v>457450</v>
      </c>
      <c r="J2" s="13">
        <f>I2/H2*100</f>
        <v>52.28</v>
      </c>
      <c r="K2" s="12">
        <v>914893</v>
      </c>
      <c r="L2" s="12">
        <f>H2-741982</f>
        <v>133018</v>
      </c>
      <c r="M2" s="12">
        <v>172911</v>
      </c>
      <c r="N2" s="12">
        <f>E2*0.2</f>
        <v>175000</v>
      </c>
      <c r="O2" s="14">
        <v>0.46700000000000003</v>
      </c>
      <c r="P2" s="12">
        <f>L2/O2</f>
        <v>284835.11777301924</v>
      </c>
      <c r="Q2" s="15">
        <f>L2/O2/43560</f>
        <v>6.5389145494265204</v>
      </c>
      <c r="R2" s="15">
        <f>M2/O2/43560</f>
        <v>8.49997935359041</v>
      </c>
      <c r="S2" s="10" t="s">
        <v>24</v>
      </c>
    </row>
    <row r="3" spans="1:19" ht="15.75" thickBot="1" x14ac:dyDescent="0.3">
      <c r="A3" s="16"/>
      <c r="B3" s="16"/>
      <c r="C3" s="16"/>
      <c r="D3" s="17"/>
      <c r="E3" s="18"/>
      <c r="F3" s="16"/>
      <c r="G3" s="16"/>
      <c r="H3" s="18"/>
      <c r="I3" s="18"/>
      <c r="J3" s="19"/>
      <c r="K3" s="18"/>
      <c r="L3" s="18">
        <f>AVERAGE(L2)</f>
        <v>133018</v>
      </c>
      <c r="M3" s="18">
        <f>AVERAGE(M2)</f>
        <v>172911</v>
      </c>
      <c r="N3" s="18">
        <f>AVERAGE(N2)</f>
        <v>175000</v>
      </c>
      <c r="O3" s="20"/>
      <c r="P3" s="18"/>
      <c r="Q3" s="21">
        <f>AVERAGE(Q2)</f>
        <v>6.5389145494265204</v>
      </c>
      <c r="R3" s="21">
        <f>AVERAGE(R2)</f>
        <v>8.49997935359041</v>
      </c>
      <c r="S3" s="16"/>
    </row>
    <row r="4" spans="1:19" ht="15.75" thickTop="1" x14ac:dyDescent="0.25">
      <c r="A4" s="10"/>
      <c r="B4" s="10"/>
      <c r="C4" s="10"/>
      <c r="D4" s="11"/>
      <c r="E4" s="12"/>
      <c r="F4" s="10"/>
      <c r="G4" s="10"/>
      <c r="H4" s="12"/>
      <c r="I4" s="12"/>
      <c r="J4" s="13"/>
      <c r="K4" s="12"/>
      <c r="L4" s="12"/>
      <c r="M4" s="12"/>
      <c r="N4" s="12"/>
      <c r="O4" s="14"/>
      <c r="P4" s="12"/>
      <c r="Q4" s="15"/>
      <c r="R4" s="15"/>
      <c r="S4" s="10"/>
    </row>
    <row r="5" spans="1:19" x14ac:dyDescent="0.25">
      <c r="A5" s="10"/>
      <c r="B5" s="10"/>
      <c r="C5" s="10"/>
      <c r="D5" s="11"/>
      <c r="E5" s="12"/>
      <c r="F5" s="10"/>
      <c r="G5" s="10"/>
      <c r="H5" s="12"/>
      <c r="I5" s="12"/>
      <c r="J5" s="13"/>
      <c r="K5" s="12"/>
      <c r="L5" s="12"/>
      <c r="M5" s="12"/>
      <c r="N5" s="12"/>
      <c r="O5" s="14"/>
      <c r="P5" s="12"/>
      <c r="Q5" s="15"/>
      <c r="R5" s="15"/>
      <c r="S5" s="10"/>
    </row>
    <row r="6" spans="1:19" x14ac:dyDescent="0.25">
      <c r="A6" s="10" t="s">
        <v>1164</v>
      </c>
      <c r="B6" s="10" t="s">
        <v>1165</v>
      </c>
      <c r="C6" s="10" t="s">
        <v>1166</v>
      </c>
      <c r="D6" s="11">
        <v>45672</v>
      </c>
      <c r="E6" s="12">
        <v>670000</v>
      </c>
      <c r="F6" s="10" t="s">
        <v>22</v>
      </c>
      <c r="G6" s="10" t="s">
        <v>23</v>
      </c>
      <c r="H6" s="12">
        <v>670000</v>
      </c>
      <c r="I6" s="12">
        <v>251650</v>
      </c>
      <c r="J6" s="13">
        <f t="shared" ref="J6:J25" si="0">I6/H6*100</f>
        <v>37.559701492537314</v>
      </c>
      <c r="K6" s="12">
        <v>503295</v>
      </c>
      <c r="L6" s="12">
        <f>H6-361289</f>
        <v>308711</v>
      </c>
      <c r="M6" s="12">
        <v>142006</v>
      </c>
      <c r="N6" s="12">
        <f t="shared" ref="N6:N25" si="1">E6*0.2</f>
        <v>134000</v>
      </c>
      <c r="O6" s="14">
        <v>0.505</v>
      </c>
      <c r="P6" s="12">
        <f t="shared" ref="P6:P25" si="2">L6/O6</f>
        <v>611308.91089108912</v>
      </c>
      <c r="Q6" s="15">
        <f t="shared" ref="Q6:Q25" si="3">L6/O6/43560</f>
        <v>14.03372155397358</v>
      </c>
      <c r="R6" s="15">
        <f t="shared" ref="R6:R25" si="4">M6/O6/43560</f>
        <v>6.4554637281910008</v>
      </c>
      <c r="S6" s="10" t="s">
        <v>24</v>
      </c>
    </row>
    <row r="7" spans="1:19" x14ac:dyDescent="0.25">
      <c r="A7" s="10" t="s">
        <v>1167</v>
      </c>
      <c r="B7" s="10" t="s">
        <v>1168</v>
      </c>
      <c r="C7" s="10" t="s">
        <v>1166</v>
      </c>
      <c r="D7" s="11">
        <v>45077</v>
      </c>
      <c r="E7" s="12">
        <v>467500</v>
      </c>
      <c r="F7" s="10" t="s">
        <v>29</v>
      </c>
      <c r="G7" s="10" t="s">
        <v>23</v>
      </c>
      <c r="H7" s="12">
        <v>467500</v>
      </c>
      <c r="I7" s="12">
        <v>205480</v>
      </c>
      <c r="J7" s="13">
        <f t="shared" si="0"/>
        <v>43.952941176470588</v>
      </c>
      <c r="K7" s="12">
        <v>410956</v>
      </c>
      <c r="L7" s="12">
        <f>H7-268428</f>
        <v>199072</v>
      </c>
      <c r="M7" s="12">
        <v>142528</v>
      </c>
      <c r="N7" s="12">
        <f t="shared" si="1"/>
        <v>93500</v>
      </c>
      <c r="O7" s="14">
        <v>0.51100000000000001</v>
      </c>
      <c r="P7" s="12">
        <f t="shared" si="2"/>
        <v>389573.38551859098</v>
      </c>
      <c r="Q7" s="15">
        <f t="shared" si="3"/>
        <v>8.9433743231999774</v>
      </c>
      <c r="R7" s="15">
        <f t="shared" si="4"/>
        <v>6.403116739355843</v>
      </c>
      <c r="S7" s="10" t="s">
        <v>24</v>
      </c>
    </row>
    <row r="8" spans="1:19" x14ac:dyDescent="0.25">
      <c r="A8" s="10" t="s">
        <v>1169</v>
      </c>
      <c r="B8" s="10" t="s">
        <v>1170</v>
      </c>
      <c r="C8" s="10" t="s">
        <v>1166</v>
      </c>
      <c r="D8" s="11">
        <v>45524</v>
      </c>
      <c r="E8" s="12">
        <v>395000</v>
      </c>
      <c r="F8" s="10" t="s">
        <v>29</v>
      </c>
      <c r="G8" s="10" t="s">
        <v>23</v>
      </c>
      <c r="H8" s="12">
        <v>395000</v>
      </c>
      <c r="I8" s="12">
        <v>209230</v>
      </c>
      <c r="J8" s="13">
        <f t="shared" si="0"/>
        <v>52.969620253164564</v>
      </c>
      <c r="K8" s="12">
        <v>418465</v>
      </c>
      <c r="L8" s="12">
        <f>H8-274543</f>
        <v>120457</v>
      </c>
      <c r="M8" s="12">
        <v>143922</v>
      </c>
      <c r="N8" s="12">
        <f t="shared" si="1"/>
        <v>79000</v>
      </c>
      <c r="O8" s="14">
        <v>0.52700000000000002</v>
      </c>
      <c r="P8" s="12">
        <f t="shared" si="2"/>
        <v>228571.15749525616</v>
      </c>
      <c r="Q8" s="15">
        <f t="shared" si="3"/>
        <v>5.2472717514980758</v>
      </c>
      <c r="R8" s="15">
        <f t="shared" si="4"/>
        <v>6.2694392606416063</v>
      </c>
      <c r="S8" s="10" t="s">
        <v>24</v>
      </c>
    </row>
    <row r="9" spans="1:19" x14ac:dyDescent="0.25">
      <c r="A9" s="10" t="s">
        <v>1171</v>
      </c>
      <c r="B9" s="10" t="s">
        <v>1172</v>
      </c>
      <c r="C9" s="10" t="s">
        <v>1166</v>
      </c>
      <c r="D9" s="11">
        <v>45397</v>
      </c>
      <c r="E9" s="12">
        <v>505000</v>
      </c>
      <c r="F9" s="10" t="s">
        <v>22</v>
      </c>
      <c r="G9" s="10" t="s">
        <v>23</v>
      </c>
      <c r="H9" s="12">
        <v>505000</v>
      </c>
      <c r="I9" s="12">
        <v>224320</v>
      </c>
      <c r="J9" s="13">
        <f t="shared" si="0"/>
        <v>44.419801980198024</v>
      </c>
      <c r="K9" s="12">
        <v>448637</v>
      </c>
      <c r="L9" s="12">
        <f>H9-306283</f>
        <v>198717</v>
      </c>
      <c r="M9" s="12">
        <v>142354</v>
      </c>
      <c r="N9" s="12">
        <f t="shared" si="1"/>
        <v>101000</v>
      </c>
      <c r="O9" s="14">
        <v>0.50900000000000001</v>
      </c>
      <c r="P9" s="12">
        <f t="shared" si="2"/>
        <v>390406.6797642436</v>
      </c>
      <c r="Q9" s="15">
        <f t="shared" si="3"/>
        <v>8.9625041268191818</v>
      </c>
      <c r="R9" s="15">
        <f t="shared" si="4"/>
        <v>6.4204286118913734</v>
      </c>
      <c r="S9" s="10" t="s">
        <v>24</v>
      </c>
    </row>
    <row r="10" spans="1:19" x14ac:dyDescent="0.25">
      <c r="A10" s="10" t="s">
        <v>1173</v>
      </c>
      <c r="B10" s="10" t="s">
        <v>1174</v>
      </c>
      <c r="C10" s="10" t="s">
        <v>1166</v>
      </c>
      <c r="D10" s="11">
        <v>45152</v>
      </c>
      <c r="E10" s="12">
        <v>555000</v>
      </c>
      <c r="F10" s="10" t="s">
        <v>22</v>
      </c>
      <c r="G10" s="10" t="s">
        <v>23</v>
      </c>
      <c r="H10" s="12">
        <v>555000</v>
      </c>
      <c r="I10" s="12">
        <v>257880</v>
      </c>
      <c r="J10" s="13">
        <f t="shared" si="0"/>
        <v>46.464864864864865</v>
      </c>
      <c r="K10" s="12">
        <v>515753</v>
      </c>
      <c r="L10" s="12">
        <f>H10-369740</f>
        <v>185260</v>
      </c>
      <c r="M10" s="12">
        <v>146013</v>
      </c>
      <c r="N10" s="12">
        <f t="shared" si="1"/>
        <v>111000</v>
      </c>
      <c r="O10" s="14">
        <v>0.55100000000000005</v>
      </c>
      <c r="P10" s="12">
        <f t="shared" si="2"/>
        <v>336225.04537205078</v>
      </c>
      <c r="Q10" s="15">
        <f t="shared" si="3"/>
        <v>7.7186649534446916</v>
      </c>
      <c r="R10" s="15">
        <f t="shared" si="4"/>
        <v>6.0834795738277005</v>
      </c>
      <c r="S10" s="10" t="s">
        <v>24</v>
      </c>
    </row>
    <row r="11" spans="1:19" x14ac:dyDescent="0.25">
      <c r="A11" s="10" t="s">
        <v>1175</v>
      </c>
      <c r="B11" s="10" t="s">
        <v>1176</v>
      </c>
      <c r="C11" s="10" t="s">
        <v>1166</v>
      </c>
      <c r="D11" s="11">
        <v>45561</v>
      </c>
      <c r="E11" s="12">
        <v>426000</v>
      </c>
      <c r="F11" s="10" t="s">
        <v>29</v>
      </c>
      <c r="G11" s="10" t="s">
        <v>23</v>
      </c>
      <c r="H11" s="12">
        <v>426000</v>
      </c>
      <c r="I11" s="12">
        <v>218660</v>
      </c>
      <c r="J11" s="13">
        <f t="shared" si="0"/>
        <v>51.328638497652577</v>
      </c>
      <c r="K11" s="12">
        <v>437321</v>
      </c>
      <c r="L11" s="12">
        <f>H11-287475</f>
        <v>138525</v>
      </c>
      <c r="M11" s="12">
        <v>149846</v>
      </c>
      <c r="N11" s="12">
        <f t="shared" si="1"/>
        <v>85200</v>
      </c>
      <c r="O11" s="14">
        <v>0.59499999999999997</v>
      </c>
      <c r="P11" s="12">
        <f t="shared" si="2"/>
        <v>232815.12605042019</v>
      </c>
      <c r="Q11" s="15">
        <f t="shared" si="3"/>
        <v>5.3446998634164418</v>
      </c>
      <c r="R11" s="15">
        <f t="shared" si="4"/>
        <v>5.7814971718715036</v>
      </c>
      <c r="S11" s="10" t="s">
        <v>24</v>
      </c>
    </row>
    <row r="12" spans="1:19" x14ac:dyDescent="0.25">
      <c r="A12" s="10" t="s">
        <v>1177</v>
      </c>
      <c r="B12" s="10" t="s">
        <v>1178</v>
      </c>
      <c r="C12" s="10" t="s">
        <v>1166</v>
      </c>
      <c r="D12" s="11">
        <v>45260</v>
      </c>
      <c r="E12" s="12">
        <v>614000</v>
      </c>
      <c r="F12" s="10" t="s">
        <v>29</v>
      </c>
      <c r="G12" s="10" t="s">
        <v>23</v>
      </c>
      <c r="H12" s="12">
        <v>614000</v>
      </c>
      <c r="I12" s="12">
        <v>226000</v>
      </c>
      <c r="J12" s="13">
        <f t="shared" si="0"/>
        <v>36.807817589576544</v>
      </c>
      <c r="K12" s="12">
        <v>451990</v>
      </c>
      <c r="L12" s="12">
        <f>H12-290905</f>
        <v>323095</v>
      </c>
      <c r="M12" s="12">
        <v>161085</v>
      </c>
      <c r="N12" s="12">
        <f t="shared" si="1"/>
        <v>122800</v>
      </c>
      <c r="O12" s="14">
        <v>0.72399999999999998</v>
      </c>
      <c r="P12" s="12">
        <f t="shared" si="2"/>
        <v>446263.81215469615</v>
      </c>
      <c r="Q12" s="15">
        <f t="shared" si="3"/>
        <v>10.244807441567865</v>
      </c>
      <c r="R12" s="15">
        <f t="shared" si="4"/>
        <v>5.1077386116311283</v>
      </c>
      <c r="S12" s="10" t="s">
        <v>24</v>
      </c>
    </row>
    <row r="13" spans="1:19" x14ac:dyDescent="0.25">
      <c r="A13" s="10" t="s">
        <v>1179</v>
      </c>
      <c r="B13" s="10" t="s">
        <v>1180</v>
      </c>
      <c r="C13" s="10" t="s">
        <v>1166</v>
      </c>
      <c r="D13" s="11">
        <v>45401</v>
      </c>
      <c r="E13" s="12">
        <v>583000</v>
      </c>
      <c r="F13" s="10" t="s">
        <v>29</v>
      </c>
      <c r="G13" s="10" t="s">
        <v>23</v>
      </c>
      <c r="H13" s="12">
        <v>583000</v>
      </c>
      <c r="I13" s="12">
        <v>259090</v>
      </c>
      <c r="J13" s="13">
        <f t="shared" si="0"/>
        <v>44.440823327615782</v>
      </c>
      <c r="K13" s="12">
        <v>518170</v>
      </c>
      <c r="L13" s="12">
        <f>H13-354472</f>
        <v>228528</v>
      </c>
      <c r="M13" s="12">
        <v>163698</v>
      </c>
      <c r="N13" s="12">
        <f t="shared" si="1"/>
        <v>116600</v>
      </c>
      <c r="O13" s="14">
        <v>0.76600000000000001</v>
      </c>
      <c r="P13" s="12">
        <f t="shared" si="2"/>
        <v>298339.42558746738</v>
      </c>
      <c r="Q13" s="15">
        <f t="shared" si="3"/>
        <v>6.848930798610362</v>
      </c>
      <c r="R13" s="15">
        <f t="shared" si="4"/>
        <v>4.9059908364441949</v>
      </c>
      <c r="S13" s="10" t="s">
        <v>24</v>
      </c>
    </row>
    <row r="14" spans="1:19" x14ac:dyDescent="0.25">
      <c r="A14" s="10" t="s">
        <v>1181</v>
      </c>
      <c r="B14" s="10" t="s">
        <v>1182</v>
      </c>
      <c r="C14" s="10" t="s">
        <v>1166</v>
      </c>
      <c r="D14" s="11">
        <v>45191</v>
      </c>
      <c r="E14" s="12">
        <v>560000</v>
      </c>
      <c r="F14" s="10" t="s">
        <v>29</v>
      </c>
      <c r="G14" s="10" t="s">
        <v>23</v>
      </c>
      <c r="H14" s="12">
        <v>560000</v>
      </c>
      <c r="I14" s="12">
        <v>259020</v>
      </c>
      <c r="J14" s="13">
        <f t="shared" si="0"/>
        <v>46.253571428571426</v>
      </c>
      <c r="K14" s="12">
        <v>518042</v>
      </c>
      <c r="L14" s="12">
        <f>H14-355650</f>
        <v>204350</v>
      </c>
      <c r="M14" s="12">
        <v>162392</v>
      </c>
      <c r="N14" s="12">
        <f t="shared" si="1"/>
        <v>112000</v>
      </c>
      <c r="O14" s="14">
        <v>0.73899999999999999</v>
      </c>
      <c r="P14" s="12">
        <f t="shared" si="2"/>
        <v>276522.32746955345</v>
      </c>
      <c r="Q14" s="15">
        <f t="shared" si="3"/>
        <v>6.3480791430108692</v>
      </c>
      <c r="R14" s="15">
        <f t="shared" si="4"/>
        <v>5.0446648798229559</v>
      </c>
      <c r="S14" s="10" t="s">
        <v>24</v>
      </c>
    </row>
    <row r="15" spans="1:19" x14ac:dyDescent="0.25">
      <c r="A15" s="10" t="s">
        <v>1183</v>
      </c>
      <c r="B15" s="10" t="s">
        <v>1184</v>
      </c>
      <c r="C15" s="10" t="s">
        <v>1166</v>
      </c>
      <c r="D15" s="11">
        <v>45433</v>
      </c>
      <c r="E15" s="12">
        <v>680000</v>
      </c>
      <c r="F15" s="10" t="s">
        <v>29</v>
      </c>
      <c r="G15" s="10" t="s">
        <v>23</v>
      </c>
      <c r="H15" s="12">
        <v>680000</v>
      </c>
      <c r="I15" s="12">
        <v>287920</v>
      </c>
      <c r="J15" s="13">
        <f t="shared" si="0"/>
        <v>42.341176470588238</v>
      </c>
      <c r="K15" s="12">
        <v>575833</v>
      </c>
      <c r="L15" s="12">
        <f>H15-424331</f>
        <v>255669</v>
      </c>
      <c r="M15" s="12">
        <v>151502</v>
      </c>
      <c r="N15" s="12">
        <f t="shared" si="1"/>
        <v>136000</v>
      </c>
      <c r="O15" s="14">
        <v>0.61399999999999999</v>
      </c>
      <c r="P15" s="12">
        <f t="shared" si="2"/>
        <v>416399.02280130296</v>
      </c>
      <c r="Q15" s="15">
        <f t="shared" si="3"/>
        <v>9.559206216742492</v>
      </c>
      <c r="R15" s="15">
        <f t="shared" si="4"/>
        <v>5.6645070784839815</v>
      </c>
      <c r="S15" s="10" t="s">
        <v>24</v>
      </c>
    </row>
    <row r="16" spans="1:19" x14ac:dyDescent="0.25">
      <c r="A16" s="10" t="s">
        <v>1185</v>
      </c>
      <c r="B16" s="10" t="s">
        <v>1186</v>
      </c>
      <c r="C16" s="10" t="s">
        <v>1166</v>
      </c>
      <c r="D16" s="11">
        <v>45359</v>
      </c>
      <c r="E16" s="12">
        <v>460000</v>
      </c>
      <c r="F16" s="10" t="s">
        <v>22</v>
      </c>
      <c r="G16" s="10" t="s">
        <v>23</v>
      </c>
      <c r="H16" s="12">
        <v>460000</v>
      </c>
      <c r="I16" s="12">
        <v>169830</v>
      </c>
      <c r="J16" s="13">
        <f t="shared" si="0"/>
        <v>36.919565217391302</v>
      </c>
      <c r="K16" s="12">
        <v>339659</v>
      </c>
      <c r="L16" s="12">
        <f>H16-236171</f>
        <v>223829</v>
      </c>
      <c r="M16" s="12">
        <v>103488</v>
      </c>
      <c r="N16" s="12">
        <f t="shared" si="1"/>
        <v>92000</v>
      </c>
      <c r="O16" s="14">
        <v>0.43</v>
      </c>
      <c r="P16" s="12">
        <f t="shared" si="2"/>
        <v>520532.5581395349</v>
      </c>
      <c r="Q16" s="15">
        <f t="shared" si="3"/>
        <v>11.949783244709248</v>
      </c>
      <c r="R16" s="15">
        <f t="shared" si="4"/>
        <v>5.5250176180408737</v>
      </c>
      <c r="S16" s="10" t="s">
        <v>24</v>
      </c>
    </row>
    <row r="17" spans="1:19" x14ac:dyDescent="0.25">
      <c r="A17" s="10" t="s">
        <v>1187</v>
      </c>
      <c r="B17" s="10" t="s">
        <v>1188</v>
      </c>
      <c r="C17" s="10" t="s">
        <v>1166</v>
      </c>
      <c r="D17" s="11">
        <v>45057</v>
      </c>
      <c r="E17" s="12">
        <v>725000</v>
      </c>
      <c r="F17" s="10" t="s">
        <v>22</v>
      </c>
      <c r="G17" s="10" t="s">
        <v>23</v>
      </c>
      <c r="H17" s="12">
        <v>725000</v>
      </c>
      <c r="I17" s="12">
        <v>386580</v>
      </c>
      <c r="J17" s="13">
        <f t="shared" si="0"/>
        <v>53.321379310344831</v>
      </c>
      <c r="K17" s="12">
        <v>773157</v>
      </c>
      <c r="L17" s="12">
        <f>H17-640647</f>
        <v>84353</v>
      </c>
      <c r="M17" s="12">
        <v>132510</v>
      </c>
      <c r="N17" s="12">
        <f t="shared" si="1"/>
        <v>145000</v>
      </c>
      <c r="O17" s="14">
        <v>0.46800000000000003</v>
      </c>
      <c r="P17" s="12">
        <f t="shared" si="2"/>
        <v>180241.45299145297</v>
      </c>
      <c r="Q17" s="15">
        <f t="shared" si="3"/>
        <v>4.1377744029259178</v>
      </c>
      <c r="R17" s="15">
        <f t="shared" si="4"/>
        <v>6.5000235454780908</v>
      </c>
      <c r="S17" s="10" t="s">
        <v>24</v>
      </c>
    </row>
    <row r="18" spans="1:19" x14ac:dyDescent="0.25">
      <c r="A18" s="10" t="s">
        <v>1189</v>
      </c>
      <c r="B18" s="10" t="s">
        <v>1190</v>
      </c>
      <c r="C18" s="10" t="s">
        <v>1166</v>
      </c>
      <c r="D18" s="11">
        <v>45394</v>
      </c>
      <c r="E18" s="12">
        <v>700000</v>
      </c>
      <c r="F18" s="10" t="s">
        <v>29</v>
      </c>
      <c r="G18" s="10" t="s">
        <v>23</v>
      </c>
      <c r="H18" s="12">
        <v>700000</v>
      </c>
      <c r="I18" s="12">
        <v>398280</v>
      </c>
      <c r="J18" s="13">
        <f t="shared" si="0"/>
        <v>56.89714285714286</v>
      </c>
      <c r="K18" s="12">
        <v>796560</v>
      </c>
      <c r="L18" s="12">
        <f>H18-664050</f>
        <v>35950</v>
      </c>
      <c r="M18" s="12">
        <v>132510</v>
      </c>
      <c r="N18" s="12">
        <f t="shared" si="1"/>
        <v>140000</v>
      </c>
      <c r="O18" s="14">
        <v>0.46800000000000003</v>
      </c>
      <c r="P18" s="12">
        <f t="shared" si="2"/>
        <v>76816.239316239313</v>
      </c>
      <c r="Q18" s="15">
        <f t="shared" si="3"/>
        <v>1.7634582028521422</v>
      </c>
      <c r="R18" s="15">
        <f t="shared" si="4"/>
        <v>6.5000235454780908</v>
      </c>
      <c r="S18" s="10" t="s">
        <v>24</v>
      </c>
    </row>
    <row r="19" spans="1:19" x14ac:dyDescent="0.25">
      <c r="A19" s="10" t="s">
        <v>1191</v>
      </c>
      <c r="B19" s="10" t="s">
        <v>1192</v>
      </c>
      <c r="C19" s="10" t="s">
        <v>1166</v>
      </c>
      <c r="D19" s="11">
        <v>45555</v>
      </c>
      <c r="E19" s="12">
        <v>1007000</v>
      </c>
      <c r="F19" s="10" t="s">
        <v>22</v>
      </c>
      <c r="G19" s="10" t="s">
        <v>23</v>
      </c>
      <c r="H19" s="12">
        <v>1007000</v>
      </c>
      <c r="I19" s="12">
        <v>346620</v>
      </c>
      <c r="J19" s="13">
        <f t="shared" si="0"/>
        <v>34.421052631578945</v>
      </c>
      <c r="K19" s="12">
        <v>693242</v>
      </c>
      <c r="L19" s="12">
        <f>H19-517260</f>
        <v>489740</v>
      </c>
      <c r="M19" s="12">
        <v>175982</v>
      </c>
      <c r="N19" s="12">
        <f t="shared" si="1"/>
        <v>201400</v>
      </c>
      <c r="O19" s="14">
        <v>1.33</v>
      </c>
      <c r="P19" s="12">
        <f t="shared" si="2"/>
        <v>368225.56390977441</v>
      </c>
      <c r="Q19" s="15">
        <f t="shared" si="3"/>
        <v>8.4532957738699359</v>
      </c>
      <c r="R19" s="15">
        <f t="shared" si="4"/>
        <v>3.0375870806492813</v>
      </c>
      <c r="S19" s="10" t="s">
        <v>24</v>
      </c>
    </row>
    <row r="20" spans="1:19" x14ac:dyDescent="0.25">
      <c r="A20" s="10" t="s">
        <v>1193</v>
      </c>
      <c r="B20" s="10" t="s">
        <v>1194</v>
      </c>
      <c r="C20" s="10" t="s">
        <v>1166</v>
      </c>
      <c r="D20" s="11">
        <v>45488</v>
      </c>
      <c r="E20" s="12">
        <v>655000</v>
      </c>
      <c r="F20" s="10" t="s">
        <v>22</v>
      </c>
      <c r="G20" s="10" t="s">
        <v>23</v>
      </c>
      <c r="H20" s="12">
        <v>655000</v>
      </c>
      <c r="I20" s="12">
        <v>223980</v>
      </c>
      <c r="J20" s="13">
        <f t="shared" si="0"/>
        <v>34.195419847328246</v>
      </c>
      <c r="K20" s="12">
        <v>447968</v>
      </c>
      <c r="L20" s="12">
        <f>H20-305844</f>
        <v>349156</v>
      </c>
      <c r="M20" s="12">
        <v>142124</v>
      </c>
      <c r="N20" s="12">
        <f t="shared" si="1"/>
        <v>131000</v>
      </c>
      <c r="O20" s="14">
        <v>0.92700000000000005</v>
      </c>
      <c r="P20" s="12">
        <f t="shared" si="2"/>
        <v>376651.56418554473</v>
      </c>
      <c r="Q20" s="15">
        <f t="shared" si="3"/>
        <v>8.6467301236350949</v>
      </c>
      <c r="R20" s="15">
        <f t="shared" si="4"/>
        <v>3.5196527400116686</v>
      </c>
      <c r="S20" s="10" t="s">
        <v>24</v>
      </c>
    </row>
    <row r="21" spans="1:19" x14ac:dyDescent="0.25">
      <c r="A21" s="10" t="s">
        <v>1195</v>
      </c>
      <c r="B21" s="10" t="s">
        <v>1196</v>
      </c>
      <c r="C21" s="10" t="s">
        <v>1166</v>
      </c>
      <c r="D21" s="11">
        <v>45547</v>
      </c>
      <c r="E21" s="12">
        <v>455000</v>
      </c>
      <c r="F21" s="10" t="s">
        <v>22</v>
      </c>
      <c r="G21" s="10" t="s">
        <v>23</v>
      </c>
      <c r="H21" s="12">
        <v>455000</v>
      </c>
      <c r="I21" s="12">
        <v>252390</v>
      </c>
      <c r="J21" s="13">
        <f t="shared" si="0"/>
        <v>55.470329670329669</v>
      </c>
      <c r="K21" s="12">
        <v>504781</v>
      </c>
      <c r="L21" s="12">
        <f>H21-348139</f>
        <v>106861</v>
      </c>
      <c r="M21" s="12">
        <v>156642</v>
      </c>
      <c r="N21" s="12">
        <f t="shared" si="1"/>
        <v>91000</v>
      </c>
      <c r="O21" s="14">
        <v>0.67300000000000004</v>
      </c>
      <c r="P21" s="12">
        <f t="shared" si="2"/>
        <v>158783.06092124814</v>
      </c>
      <c r="Q21" s="15">
        <f t="shared" si="3"/>
        <v>3.6451575050791583</v>
      </c>
      <c r="R21" s="15">
        <f t="shared" si="4"/>
        <v>5.3432474140295296</v>
      </c>
      <c r="S21" s="10" t="s">
        <v>24</v>
      </c>
    </row>
    <row r="22" spans="1:19" x14ac:dyDescent="0.25">
      <c r="A22" s="10" t="s">
        <v>1197</v>
      </c>
      <c r="B22" s="10" t="s">
        <v>1198</v>
      </c>
      <c r="C22" s="10" t="s">
        <v>1166</v>
      </c>
      <c r="D22" s="11">
        <v>45141</v>
      </c>
      <c r="E22" s="12">
        <v>790000</v>
      </c>
      <c r="F22" s="10" t="s">
        <v>29</v>
      </c>
      <c r="G22" s="10" t="s">
        <v>23</v>
      </c>
      <c r="H22" s="12">
        <v>790000</v>
      </c>
      <c r="I22" s="12">
        <v>259150</v>
      </c>
      <c r="J22" s="13">
        <f t="shared" si="0"/>
        <v>32.803797468354432</v>
      </c>
      <c r="K22" s="12">
        <v>518306</v>
      </c>
      <c r="L22" s="12">
        <f>H22-375133</f>
        <v>414867</v>
      </c>
      <c r="M22" s="12">
        <v>143173</v>
      </c>
      <c r="N22" s="12">
        <f t="shared" si="1"/>
        <v>158000</v>
      </c>
      <c r="O22" s="14">
        <v>1.4670000000000001</v>
      </c>
      <c r="P22" s="12">
        <f t="shared" si="2"/>
        <v>282799.59100204497</v>
      </c>
      <c r="Q22" s="15">
        <f t="shared" si="3"/>
        <v>6.492185284711776</v>
      </c>
      <c r="R22" s="15">
        <f t="shared" si="4"/>
        <v>2.2404906723553313</v>
      </c>
      <c r="S22" s="10" t="s">
        <v>24</v>
      </c>
    </row>
    <row r="23" spans="1:19" x14ac:dyDescent="0.25">
      <c r="A23" s="10" t="s">
        <v>1199</v>
      </c>
      <c r="B23" s="10" t="s">
        <v>1200</v>
      </c>
      <c r="C23" s="10" t="s">
        <v>1166</v>
      </c>
      <c r="D23" s="11">
        <v>45028</v>
      </c>
      <c r="E23" s="12">
        <v>600000</v>
      </c>
      <c r="F23" s="10" t="s">
        <v>22</v>
      </c>
      <c r="G23" s="10" t="s">
        <v>23</v>
      </c>
      <c r="H23" s="12">
        <v>600000</v>
      </c>
      <c r="I23" s="12">
        <v>238950</v>
      </c>
      <c r="J23" s="13">
        <f t="shared" si="0"/>
        <v>39.825000000000003</v>
      </c>
      <c r="K23" s="12">
        <v>477897</v>
      </c>
      <c r="L23" s="12">
        <f>H23-334410</f>
        <v>265590</v>
      </c>
      <c r="M23" s="12">
        <v>143487</v>
      </c>
      <c r="N23" s="12">
        <f t="shared" si="1"/>
        <v>120000</v>
      </c>
      <c r="O23" s="14">
        <v>0.52200000000000002</v>
      </c>
      <c r="P23" s="12">
        <f t="shared" si="2"/>
        <v>508793.10344827583</v>
      </c>
      <c r="Q23" s="15">
        <f t="shared" si="3"/>
        <v>11.680282448307526</v>
      </c>
      <c r="R23" s="15">
        <f t="shared" si="4"/>
        <v>6.3103606598904403</v>
      </c>
      <c r="S23" s="10" t="s">
        <v>24</v>
      </c>
    </row>
    <row r="24" spans="1:19" x14ac:dyDescent="0.25">
      <c r="A24" s="10" t="s">
        <v>1201</v>
      </c>
      <c r="B24" s="10" t="s">
        <v>1202</v>
      </c>
      <c r="C24" s="10" t="s">
        <v>1166</v>
      </c>
      <c r="D24" s="11">
        <v>45337</v>
      </c>
      <c r="E24" s="12">
        <v>624900</v>
      </c>
      <c r="F24" s="10" t="s">
        <v>22</v>
      </c>
      <c r="G24" s="10" t="s">
        <v>23</v>
      </c>
      <c r="H24" s="12">
        <v>624900</v>
      </c>
      <c r="I24" s="12">
        <v>241890</v>
      </c>
      <c r="J24" s="13">
        <f t="shared" si="0"/>
        <v>38.708593374939994</v>
      </c>
      <c r="K24" s="12">
        <v>483778</v>
      </c>
      <c r="L24" s="12">
        <f>H24-348154</f>
        <v>276746</v>
      </c>
      <c r="M24" s="12">
        <v>135624</v>
      </c>
      <c r="N24" s="12">
        <f t="shared" si="1"/>
        <v>124980</v>
      </c>
      <c r="O24" s="14">
        <v>0.47899999999999998</v>
      </c>
      <c r="P24" s="12">
        <f t="shared" si="2"/>
        <v>577757.82881002093</v>
      </c>
      <c r="Q24" s="15">
        <f t="shared" si="3"/>
        <v>13.263494692608377</v>
      </c>
      <c r="R24" s="15">
        <f t="shared" si="4"/>
        <v>6.4999971244040333</v>
      </c>
      <c r="S24" s="10" t="s">
        <v>24</v>
      </c>
    </row>
    <row r="25" spans="1:19" x14ac:dyDescent="0.25">
      <c r="A25" s="10" t="s">
        <v>1203</v>
      </c>
      <c r="B25" s="10" t="s">
        <v>1204</v>
      </c>
      <c r="C25" s="10" t="s">
        <v>1166</v>
      </c>
      <c r="D25" s="11">
        <v>45686</v>
      </c>
      <c r="E25" s="12">
        <v>1800000</v>
      </c>
      <c r="F25" s="10" t="s">
        <v>22</v>
      </c>
      <c r="G25" s="10" t="s">
        <v>23</v>
      </c>
      <c r="H25" s="12">
        <v>1800000</v>
      </c>
      <c r="I25" s="12">
        <v>787730</v>
      </c>
      <c r="J25" s="13">
        <f t="shared" si="0"/>
        <v>43.762777777777778</v>
      </c>
      <c r="K25" s="12">
        <v>1575455</v>
      </c>
      <c r="L25" s="12">
        <f>H25-1407488</f>
        <v>392512</v>
      </c>
      <c r="M25" s="12">
        <v>167967</v>
      </c>
      <c r="N25" s="12">
        <f t="shared" si="1"/>
        <v>360000</v>
      </c>
      <c r="O25" s="14">
        <v>0.96199999999999997</v>
      </c>
      <c r="P25" s="12">
        <f t="shared" si="2"/>
        <v>408016.63201663201</v>
      </c>
      <c r="Q25" s="15">
        <f t="shared" si="3"/>
        <v>9.3667730031366396</v>
      </c>
      <c r="R25" s="15">
        <f t="shared" si="4"/>
        <v>4.0083074173983269</v>
      </c>
      <c r="S25" s="10" t="s">
        <v>24</v>
      </c>
    </row>
    <row r="26" spans="1:19" ht="15.75" thickBot="1" x14ac:dyDescent="0.3">
      <c r="A26" s="16"/>
      <c r="B26" s="16"/>
      <c r="C26" s="16"/>
      <c r="D26" s="17"/>
      <c r="E26" s="18"/>
      <c r="F26" s="16"/>
      <c r="G26" s="16"/>
      <c r="H26" s="18"/>
      <c r="I26" s="18"/>
      <c r="J26" s="19"/>
      <c r="K26" s="18"/>
      <c r="L26" s="18">
        <f>AVERAGE(L6:L25)</f>
        <v>240099.4</v>
      </c>
      <c r="M26" s="18">
        <f>AVERAGE(M6:M25)</f>
        <v>146942.65</v>
      </c>
      <c r="N26" s="18">
        <f>AVERAGE(N6:N25)</f>
        <v>132724</v>
      </c>
      <c r="O26" s="20"/>
      <c r="P26" s="18"/>
      <c r="Q26" s="21">
        <f>AVERAGE(Q6:Q25)</f>
        <v>8.1325097427059685</v>
      </c>
      <c r="R26" s="21">
        <f>AVERAGE(R6:R25)</f>
        <v>5.3810517154948467</v>
      </c>
      <c r="S26" s="16"/>
    </row>
    <row r="27" spans="1:19" ht="15.75" thickTop="1" x14ac:dyDescent="0.25">
      <c r="A27" s="10"/>
      <c r="B27" s="10"/>
      <c r="C27" s="10"/>
      <c r="D27" s="11"/>
      <c r="E27" s="12"/>
      <c r="F27" s="10"/>
      <c r="G27" s="10"/>
      <c r="H27" s="12"/>
      <c r="I27" s="12"/>
      <c r="J27" s="13"/>
      <c r="K27" s="12"/>
      <c r="L27" s="12"/>
      <c r="M27" s="12"/>
      <c r="N27" s="12"/>
      <c r="O27" s="14"/>
      <c r="P27" s="12"/>
      <c r="Q27" s="15"/>
      <c r="R27" s="15"/>
      <c r="S27" s="10"/>
    </row>
    <row r="28" spans="1:19" x14ac:dyDescent="0.25">
      <c r="A28" s="10"/>
      <c r="B28" s="10"/>
      <c r="C28" s="10"/>
      <c r="D28" s="11"/>
      <c r="E28" s="12"/>
      <c r="F28" s="10"/>
      <c r="G28" s="10"/>
      <c r="H28" s="12"/>
      <c r="I28" s="12"/>
      <c r="J28" s="13"/>
      <c r="K28" s="12"/>
      <c r="L28" s="12"/>
      <c r="M28" s="12"/>
      <c r="N28" s="12"/>
      <c r="O28" s="14"/>
      <c r="P28" s="12"/>
      <c r="Q28" s="15"/>
      <c r="R28" s="15"/>
      <c r="S28" s="10"/>
    </row>
    <row r="29" spans="1:19" x14ac:dyDescent="0.25">
      <c r="A29" s="10" t="s">
        <v>1205</v>
      </c>
      <c r="B29" s="10" t="s">
        <v>1206</v>
      </c>
      <c r="C29" s="10" t="s">
        <v>1207</v>
      </c>
      <c r="D29" s="11">
        <v>45698</v>
      </c>
      <c r="E29" s="12">
        <v>475000</v>
      </c>
      <c r="F29" s="10" t="s">
        <v>22</v>
      </c>
      <c r="G29" s="10" t="s">
        <v>23</v>
      </c>
      <c r="H29" s="12">
        <v>475000</v>
      </c>
      <c r="I29" s="12">
        <v>241740</v>
      </c>
      <c r="J29" s="13">
        <f t="shared" ref="J29:J38" si="5">I29/H29*100</f>
        <v>50.892631578947366</v>
      </c>
      <c r="K29" s="12">
        <v>483472</v>
      </c>
      <c r="L29" s="12">
        <f>H29-333517</f>
        <v>141483</v>
      </c>
      <c r="M29" s="12">
        <v>149955</v>
      </c>
      <c r="N29" s="12">
        <f t="shared" ref="N29:N38" si="6">E29*0.2</f>
        <v>95000</v>
      </c>
      <c r="O29" s="14">
        <v>0.45900000000000002</v>
      </c>
      <c r="P29" s="12">
        <f t="shared" ref="P29:P38" si="7">L29/O29</f>
        <v>308241.83006535948</v>
      </c>
      <c r="Q29" s="15">
        <f t="shared" ref="Q29:Q38" si="8">L29/O29/43560</f>
        <v>7.0762587251000797</v>
      </c>
      <c r="R29" s="15">
        <f t="shared" ref="R29:R38" si="9">M29/O29/43560</f>
        <v>7.4999849955286662</v>
      </c>
      <c r="S29" s="10" t="s">
        <v>24</v>
      </c>
    </row>
    <row r="30" spans="1:19" x14ac:dyDescent="0.25">
      <c r="A30" s="10" t="s">
        <v>1208</v>
      </c>
      <c r="B30" s="10" t="s">
        <v>1209</v>
      </c>
      <c r="C30" s="10" t="s">
        <v>1207</v>
      </c>
      <c r="D30" s="11">
        <v>45336</v>
      </c>
      <c r="E30" s="12">
        <v>625000</v>
      </c>
      <c r="F30" s="10" t="s">
        <v>22</v>
      </c>
      <c r="G30" s="10" t="s">
        <v>23</v>
      </c>
      <c r="H30" s="12">
        <v>625000</v>
      </c>
      <c r="I30" s="12">
        <v>229040</v>
      </c>
      <c r="J30" s="13">
        <f t="shared" si="5"/>
        <v>36.6464</v>
      </c>
      <c r="K30" s="12">
        <v>458083</v>
      </c>
      <c r="L30" s="12">
        <f>H30-305841</f>
        <v>319159</v>
      </c>
      <c r="M30" s="12">
        <v>152242</v>
      </c>
      <c r="N30" s="12">
        <f t="shared" si="6"/>
        <v>125000</v>
      </c>
      <c r="O30" s="14">
        <v>0.46600000000000003</v>
      </c>
      <c r="P30" s="12">
        <f t="shared" si="7"/>
        <v>684890.55793991417</v>
      </c>
      <c r="Q30" s="15">
        <f t="shared" si="8"/>
        <v>15.722923735994357</v>
      </c>
      <c r="R30" s="15">
        <f t="shared" si="9"/>
        <v>7.4999901472784813</v>
      </c>
      <c r="S30" s="10" t="s">
        <v>24</v>
      </c>
    </row>
    <row r="31" spans="1:19" x14ac:dyDescent="0.25">
      <c r="A31" s="10" t="s">
        <v>1210</v>
      </c>
      <c r="B31" s="10" t="s">
        <v>1211</v>
      </c>
      <c r="C31" s="10" t="s">
        <v>1207</v>
      </c>
      <c r="D31" s="11">
        <v>45400</v>
      </c>
      <c r="E31" s="12">
        <v>625000</v>
      </c>
      <c r="F31" s="10" t="s">
        <v>29</v>
      </c>
      <c r="G31" s="10" t="s">
        <v>23</v>
      </c>
      <c r="H31" s="12">
        <v>625000</v>
      </c>
      <c r="I31" s="12">
        <v>236960</v>
      </c>
      <c r="J31" s="13">
        <f t="shared" si="5"/>
        <v>37.913599999999995</v>
      </c>
      <c r="K31" s="12">
        <v>473922</v>
      </c>
      <c r="L31" s="12">
        <f>H31-320373</f>
        <v>304627</v>
      </c>
      <c r="M31" s="12">
        <v>153549</v>
      </c>
      <c r="N31" s="12">
        <f t="shared" si="6"/>
        <v>125000</v>
      </c>
      <c r="O31" s="14">
        <v>0.47</v>
      </c>
      <c r="P31" s="12">
        <f t="shared" si="7"/>
        <v>648142.55319148942</v>
      </c>
      <c r="Q31" s="15">
        <f t="shared" si="8"/>
        <v>14.87930562882207</v>
      </c>
      <c r="R31" s="15">
        <f t="shared" si="9"/>
        <v>7.5</v>
      </c>
      <c r="S31" s="10" t="s">
        <v>24</v>
      </c>
    </row>
    <row r="32" spans="1:19" x14ac:dyDescent="0.25">
      <c r="A32" s="10" t="s">
        <v>1212</v>
      </c>
      <c r="B32" s="10" t="s">
        <v>1213</v>
      </c>
      <c r="C32" s="10" t="s">
        <v>1207</v>
      </c>
      <c r="D32" s="11">
        <v>45342</v>
      </c>
      <c r="E32" s="12">
        <v>702500</v>
      </c>
      <c r="F32" s="10" t="s">
        <v>22</v>
      </c>
      <c r="G32" s="10" t="s">
        <v>23</v>
      </c>
      <c r="H32" s="12">
        <v>702500</v>
      </c>
      <c r="I32" s="12">
        <v>235730</v>
      </c>
      <c r="J32" s="13">
        <f t="shared" si="5"/>
        <v>33.555871886120997</v>
      </c>
      <c r="K32" s="12">
        <v>471468</v>
      </c>
      <c r="L32" s="12">
        <f>H32-308064</f>
        <v>394436</v>
      </c>
      <c r="M32" s="12">
        <v>163404</v>
      </c>
      <c r="N32" s="12">
        <f t="shared" si="6"/>
        <v>140500</v>
      </c>
      <c r="O32" s="14">
        <v>0.501</v>
      </c>
      <c r="P32" s="12">
        <f t="shared" si="7"/>
        <v>787297.4051896208</v>
      </c>
      <c r="Q32" s="15">
        <f t="shared" si="8"/>
        <v>18.073861459816822</v>
      </c>
      <c r="R32" s="15">
        <f t="shared" si="9"/>
        <v>7.4875043301826096</v>
      </c>
      <c r="S32" s="10" t="s">
        <v>24</v>
      </c>
    </row>
    <row r="33" spans="1:19" x14ac:dyDescent="0.25">
      <c r="A33" s="10" t="s">
        <v>1214</v>
      </c>
      <c r="B33" s="10" t="s">
        <v>1215</v>
      </c>
      <c r="C33" s="10" t="s">
        <v>1207</v>
      </c>
      <c r="D33" s="11">
        <v>45433</v>
      </c>
      <c r="E33" s="12">
        <v>840000</v>
      </c>
      <c r="F33" s="10" t="s">
        <v>22</v>
      </c>
      <c r="G33" s="10" t="s">
        <v>23</v>
      </c>
      <c r="H33" s="12">
        <v>840000</v>
      </c>
      <c r="I33" s="12">
        <v>349040</v>
      </c>
      <c r="J33" s="13">
        <f t="shared" si="5"/>
        <v>41.55238095238095</v>
      </c>
      <c r="K33" s="12">
        <v>698081</v>
      </c>
      <c r="L33" s="12">
        <f>H33-532499</f>
        <v>307501</v>
      </c>
      <c r="M33" s="12">
        <v>165582</v>
      </c>
      <c r="N33" s="12">
        <f t="shared" si="6"/>
        <v>168000</v>
      </c>
      <c r="O33" s="14">
        <v>0.54100000000000004</v>
      </c>
      <c r="P33" s="12">
        <f t="shared" si="7"/>
        <v>568393.71534195927</v>
      </c>
      <c r="Q33" s="15">
        <f t="shared" si="8"/>
        <v>13.048524227317706</v>
      </c>
      <c r="R33" s="15">
        <f t="shared" si="9"/>
        <v>7.0263210155665199</v>
      </c>
      <c r="S33" s="10" t="s">
        <v>24</v>
      </c>
    </row>
    <row r="34" spans="1:19" x14ac:dyDescent="0.25">
      <c r="A34" s="10" t="s">
        <v>1216</v>
      </c>
      <c r="B34" s="10" t="s">
        <v>1217</v>
      </c>
      <c r="C34" s="10" t="s">
        <v>1207</v>
      </c>
      <c r="D34" s="11">
        <v>45580</v>
      </c>
      <c r="E34" s="12">
        <v>710000</v>
      </c>
      <c r="F34" s="10" t="s">
        <v>22</v>
      </c>
      <c r="G34" s="10" t="s">
        <v>23</v>
      </c>
      <c r="H34" s="12">
        <v>710000</v>
      </c>
      <c r="I34" s="12">
        <v>352060</v>
      </c>
      <c r="J34" s="13">
        <f t="shared" si="5"/>
        <v>49.585915492957746</v>
      </c>
      <c r="K34" s="12">
        <v>704115</v>
      </c>
      <c r="L34" s="12">
        <f>H34-528732</f>
        <v>181268</v>
      </c>
      <c r="M34" s="12">
        <v>175383</v>
      </c>
      <c r="N34" s="12">
        <f t="shared" si="6"/>
        <v>142000</v>
      </c>
      <c r="O34" s="14">
        <v>0.72099999999999997</v>
      </c>
      <c r="P34" s="12">
        <f t="shared" si="7"/>
        <v>251411.92787794731</v>
      </c>
      <c r="Q34" s="15">
        <f t="shared" si="8"/>
        <v>5.7716236886581109</v>
      </c>
      <c r="R34" s="15">
        <f t="shared" si="9"/>
        <v>5.5842436469091368</v>
      </c>
      <c r="S34" s="10" t="s">
        <v>24</v>
      </c>
    </row>
    <row r="35" spans="1:19" x14ac:dyDescent="0.25">
      <c r="A35" s="10" t="s">
        <v>1218</v>
      </c>
      <c r="B35" s="10" t="s">
        <v>1219</v>
      </c>
      <c r="C35" s="10" t="s">
        <v>1207</v>
      </c>
      <c r="D35" s="11">
        <v>45632</v>
      </c>
      <c r="E35" s="12">
        <v>595000</v>
      </c>
      <c r="F35" s="10" t="s">
        <v>22</v>
      </c>
      <c r="G35" s="10" t="s">
        <v>23</v>
      </c>
      <c r="H35" s="12">
        <v>595000</v>
      </c>
      <c r="I35" s="12">
        <v>279390</v>
      </c>
      <c r="J35" s="13">
        <f t="shared" si="5"/>
        <v>46.956302521008404</v>
      </c>
      <c r="K35" s="12">
        <v>558771</v>
      </c>
      <c r="L35" s="12">
        <f>H35-406855</f>
        <v>188145</v>
      </c>
      <c r="M35" s="12">
        <v>151916</v>
      </c>
      <c r="N35" s="12">
        <f t="shared" si="6"/>
        <v>119000</v>
      </c>
      <c r="O35" s="14">
        <v>0.46500000000000002</v>
      </c>
      <c r="P35" s="12">
        <f t="shared" si="7"/>
        <v>404612.90322580643</v>
      </c>
      <c r="Q35" s="15">
        <f t="shared" si="8"/>
        <v>9.2886341420065754</v>
      </c>
      <c r="R35" s="15">
        <f t="shared" si="9"/>
        <v>7.5000246847754175</v>
      </c>
      <c r="S35" s="10" t="s">
        <v>24</v>
      </c>
    </row>
    <row r="36" spans="1:19" x14ac:dyDescent="0.25">
      <c r="A36" s="10" t="s">
        <v>1220</v>
      </c>
      <c r="B36" s="10" t="s">
        <v>1221</v>
      </c>
      <c r="C36" s="10" t="s">
        <v>1207</v>
      </c>
      <c r="D36" s="11">
        <v>45063</v>
      </c>
      <c r="E36" s="12">
        <v>660000</v>
      </c>
      <c r="F36" s="10" t="s">
        <v>22</v>
      </c>
      <c r="G36" s="10" t="s">
        <v>23</v>
      </c>
      <c r="H36" s="12">
        <v>660000</v>
      </c>
      <c r="I36" s="12">
        <v>266180</v>
      </c>
      <c r="J36" s="13">
        <f t="shared" si="5"/>
        <v>40.330303030303035</v>
      </c>
      <c r="K36" s="12">
        <v>532358</v>
      </c>
      <c r="L36" s="12">
        <f>H36-368082</f>
        <v>291918</v>
      </c>
      <c r="M36" s="12">
        <v>164276</v>
      </c>
      <c r="N36" s="12">
        <f t="shared" si="6"/>
        <v>132000</v>
      </c>
      <c r="O36" s="14">
        <v>0.51700000000000002</v>
      </c>
      <c r="P36" s="12">
        <f t="shared" si="7"/>
        <v>564638.29787234042</v>
      </c>
      <c r="Q36" s="15">
        <f t="shared" si="8"/>
        <v>12.962311705058321</v>
      </c>
      <c r="R36" s="15">
        <f t="shared" si="9"/>
        <v>7.2945029688479668</v>
      </c>
      <c r="S36" s="10" t="s">
        <v>24</v>
      </c>
    </row>
    <row r="37" spans="1:19" x14ac:dyDescent="0.25">
      <c r="A37" s="10" t="s">
        <v>1222</v>
      </c>
      <c r="B37" s="10" t="s">
        <v>1223</v>
      </c>
      <c r="C37" s="10" t="s">
        <v>1207</v>
      </c>
      <c r="D37" s="11">
        <v>45077</v>
      </c>
      <c r="E37" s="12">
        <v>515000</v>
      </c>
      <c r="F37" s="10" t="s">
        <v>29</v>
      </c>
      <c r="G37" s="10" t="s">
        <v>23</v>
      </c>
      <c r="H37" s="12">
        <v>515000</v>
      </c>
      <c r="I37" s="12">
        <v>246780</v>
      </c>
      <c r="J37" s="13">
        <f t="shared" si="5"/>
        <v>47.918446601941753</v>
      </c>
      <c r="K37" s="12">
        <v>493568</v>
      </c>
      <c r="L37" s="12">
        <f>H37-365828</f>
        <v>149172</v>
      </c>
      <c r="M37" s="12">
        <v>127740</v>
      </c>
      <c r="N37" s="12">
        <f t="shared" si="6"/>
        <v>103000</v>
      </c>
      <c r="O37" s="14">
        <v>0.46</v>
      </c>
      <c r="P37" s="12">
        <f t="shared" si="7"/>
        <v>324286.95652173914</v>
      </c>
      <c r="Q37" s="15">
        <f t="shared" si="8"/>
        <v>7.4446041442088875</v>
      </c>
      <c r="R37" s="15">
        <f t="shared" si="9"/>
        <v>6.3750149718529165</v>
      </c>
      <c r="S37" s="10" t="s">
        <v>24</v>
      </c>
    </row>
    <row r="38" spans="1:19" x14ac:dyDescent="0.25">
      <c r="A38" s="10" t="s">
        <v>1224</v>
      </c>
      <c r="B38" s="10" t="s">
        <v>1225</v>
      </c>
      <c r="C38" s="10" t="s">
        <v>1207</v>
      </c>
      <c r="D38" s="11">
        <v>45638</v>
      </c>
      <c r="E38" s="12">
        <v>740000</v>
      </c>
      <c r="F38" s="10" t="s">
        <v>22</v>
      </c>
      <c r="G38" s="10" t="s">
        <v>23</v>
      </c>
      <c r="H38" s="12">
        <v>740000</v>
      </c>
      <c r="I38" s="12">
        <v>372150</v>
      </c>
      <c r="J38" s="13">
        <f t="shared" si="5"/>
        <v>50.29054054054054</v>
      </c>
      <c r="K38" s="12">
        <v>744305</v>
      </c>
      <c r="L38" s="12">
        <f>H38-616288</f>
        <v>123712</v>
      </c>
      <c r="M38" s="12">
        <v>128017</v>
      </c>
      <c r="N38" s="12">
        <f t="shared" si="6"/>
        <v>148000</v>
      </c>
      <c r="O38" s="14">
        <v>0.46100000000000002</v>
      </c>
      <c r="P38" s="12">
        <f t="shared" si="7"/>
        <v>268355.74837310193</v>
      </c>
      <c r="Q38" s="15">
        <f t="shared" si="8"/>
        <v>6.1606002840473355</v>
      </c>
      <c r="R38" s="15">
        <f t="shared" si="9"/>
        <v>6.3749803298215841</v>
      </c>
      <c r="S38" s="10" t="s">
        <v>24</v>
      </c>
    </row>
    <row r="39" spans="1:19" ht="15.75" thickBot="1" x14ac:dyDescent="0.3">
      <c r="A39" s="16"/>
      <c r="B39" s="16"/>
      <c r="C39" s="16"/>
      <c r="D39" s="17"/>
      <c r="E39" s="18"/>
      <c r="F39" s="16"/>
      <c r="G39" s="16"/>
      <c r="H39" s="18"/>
      <c r="I39" s="18"/>
      <c r="J39" s="19"/>
      <c r="K39" s="18"/>
      <c r="L39" s="18">
        <f>AVERAGE(L29:L38)</f>
        <v>240142.1</v>
      </c>
      <c r="M39" s="18">
        <f>AVERAGE(M29:M38)</f>
        <v>153206.39999999999</v>
      </c>
      <c r="N39" s="18">
        <f>AVERAGE(N29:N38)</f>
        <v>129750</v>
      </c>
      <c r="O39" s="20"/>
      <c r="P39" s="18"/>
      <c r="Q39" s="21">
        <f>AVERAGE(Q29:Q38)</f>
        <v>11.042864774103027</v>
      </c>
      <c r="R39" s="21">
        <f>AVERAGE(R29:R38)</f>
        <v>7.0142567090763297</v>
      </c>
      <c r="S39" s="16"/>
    </row>
    <row r="40" spans="1:19" ht="15.75" thickTop="1" x14ac:dyDescent="0.25">
      <c r="A40" s="10"/>
      <c r="B40" s="10"/>
      <c r="C40" s="10"/>
      <c r="D40" s="11"/>
      <c r="E40" s="12"/>
      <c r="F40" s="10"/>
      <c r="G40" s="10"/>
      <c r="H40" s="12"/>
      <c r="I40" s="12"/>
      <c r="J40" s="13"/>
      <c r="K40" s="12"/>
      <c r="L40" s="12"/>
      <c r="M40" s="12"/>
      <c r="N40" s="12"/>
      <c r="O40" s="14"/>
      <c r="P40" s="12"/>
      <c r="Q40" s="15"/>
      <c r="R40" s="15"/>
      <c r="S40" s="10"/>
    </row>
    <row r="41" spans="1:19" x14ac:dyDescent="0.25">
      <c r="A41" s="10"/>
      <c r="B41" s="10"/>
      <c r="C41" s="10"/>
      <c r="D41" s="11"/>
      <c r="E41" s="12"/>
      <c r="F41" s="10"/>
      <c r="G41" s="10"/>
      <c r="H41" s="12"/>
      <c r="I41" s="12"/>
      <c r="J41" s="13"/>
      <c r="K41" s="12"/>
      <c r="L41" s="12"/>
      <c r="M41" s="12"/>
      <c r="N41" s="12"/>
      <c r="O41" s="14"/>
      <c r="P41" s="12"/>
      <c r="Q41" s="15"/>
      <c r="R41" s="15"/>
      <c r="S41" s="10"/>
    </row>
    <row r="42" spans="1:19" x14ac:dyDescent="0.25">
      <c r="A42" s="10" t="s">
        <v>1226</v>
      </c>
      <c r="B42" s="10" t="s">
        <v>1227</v>
      </c>
      <c r="C42" s="10" t="s">
        <v>1228</v>
      </c>
      <c r="D42" s="11">
        <v>45245</v>
      </c>
      <c r="E42" s="12">
        <v>470000</v>
      </c>
      <c r="F42" s="10" t="s">
        <v>29</v>
      </c>
      <c r="G42" s="10" t="s">
        <v>23</v>
      </c>
      <c r="H42" s="12">
        <v>470000</v>
      </c>
      <c r="I42" s="12">
        <v>196510</v>
      </c>
      <c r="J42" s="13">
        <f t="shared" ref="J42:J51" si="10">I42/H42*100</f>
        <v>41.810638297872337</v>
      </c>
      <c r="K42" s="12">
        <v>393017</v>
      </c>
      <c r="L42" s="12">
        <f>H42-261096</f>
        <v>208904</v>
      </c>
      <c r="M42" s="12">
        <v>131921</v>
      </c>
      <c r="N42" s="12">
        <f t="shared" ref="N42:N51" si="11">E42*0.2</f>
        <v>94000</v>
      </c>
      <c r="O42" s="14">
        <v>0.80700000000000005</v>
      </c>
      <c r="P42" s="12">
        <f t="shared" ref="P42:P51" si="12">L42/O42</f>
        <v>258864.93184634447</v>
      </c>
      <c r="Q42" s="15">
        <f t="shared" ref="Q42:Q51" si="13">L42/O42/43560</f>
        <v>5.9427211167664016</v>
      </c>
      <c r="R42" s="15">
        <f t="shared" ref="R42:R51" si="14">M42/O42/43560</f>
        <v>3.7527750184052988</v>
      </c>
      <c r="S42" s="10" t="s">
        <v>24</v>
      </c>
    </row>
    <row r="43" spans="1:19" x14ac:dyDescent="0.25">
      <c r="A43" s="10" t="s">
        <v>1229</v>
      </c>
      <c r="B43" s="10" t="s">
        <v>1230</v>
      </c>
      <c r="C43" s="10" t="s">
        <v>1228</v>
      </c>
      <c r="D43" s="11">
        <v>45568</v>
      </c>
      <c r="E43" s="12">
        <v>465000</v>
      </c>
      <c r="F43" s="10" t="s">
        <v>29</v>
      </c>
      <c r="G43" s="10" t="s">
        <v>23</v>
      </c>
      <c r="H43" s="12">
        <v>465000</v>
      </c>
      <c r="I43" s="12">
        <v>217130</v>
      </c>
      <c r="J43" s="13">
        <f t="shared" si="10"/>
        <v>46.694623655913979</v>
      </c>
      <c r="K43" s="12">
        <v>434252</v>
      </c>
      <c r="L43" s="12">
        <f>H43-299085</f>
        <v>165915</v>
      </c>
      <c r="M43" s="12">
        <v>135167</v>
      </c>
      <c r="N43" s="12">
        <f t="shared" si="11"/>
        <v>93000</v>
      </c>
      <c r="O43" s="14">
        <v>0.95599999999999996</v>
      </c>
      <c r="P43" s="12">
        <f t="shared" si="12"/>
        <v>173551.25523012553</v>
      </c>
      <c r="Q43" s="15">
        <f t="shared" si="13"/>
        <v>3.9841885957329093</v>
      </c>
      <c r="R43" s="15">
        <f t="shared" si="14"/>
        <v>3.2458235838798788</v>
      </c>
      <c r="S43" s="10" t="s">
        <v>24</v>
      </c>
    </row>
    <row r="44" spans="1:19" x14ac:dyDescent="0.25">
      <c r="A44" s="10" t="s">
        <v>1231</v>
      </c>
      <c r="B44" s="10" t="s">
        <v>1232</v>
      </c>
      <c r="C44" s="10" t="s">
        <v>1228</v>
      </c>
      <c r="D44" s="11">
        <v>45706</v>
      </c>
      <c r="E44" s="12">
        <v>466143</v>
      </c>
      <c r="F44" s="10" t="s">
        <v>1233</v>
      </c>
      <c r="G44" s="10" t="s">
        <v>23</v>
      </c>
      <c r="H44" s="12">
        <v>466143</v>
      </c>
      <c r="I44" s="12">
        <v>388210</v>
      </c>
      <c r="J44" s="13">
        <f t="shared" si="10"/>
        <v>83.281310670759837</v>
      </c>
      <c r="K44" s="12">
        <v>776427</v>
      </c>
      <c r="L44" s="12">
        <f>H44-640825</f>
        <v>-174682</v>
      </c>
      <c r="M44" s="12">
        <v>135602</v>
      </c>
      <c r="N44" s="12">
        <f t="shared" si="11"/>
        <v>93228.6</v>
      </c>
      <c r="O44" s="14">
        <v>0.97599999999999998</v>
      </c>
      <c r="P44" s="12">
        <f t="shared" si="12"/>
        <v>-178977.45901639343</v>
      </c>
      <c r="Q44" s="15">
        <f t="shared" si="13"/>
        <v>-4.1087570940402536</v>
      </c>
      <c r="R44" s="15">
        <f t="shared" si="14"/>
        <v>3.189542594348854</v>
      </c>
      <c r="S44" s="10" t="s">
        <v>24</v>
      </c>
    </row>
    <row r="45" spans="1:19" x14ac:dyDescent="0.25">
      <c r="A45" s="10" t="s">
        <v>1234</v>
      </c>
      <c r="B45" s="10" t="s">
        <v>1235</v>
      </c>
      <c r="C45" s="10" t="s">
        <v>1228</v>
      </c>
      <c r="D45" s="11">
        <v>45464</v>
      </c>
      <c r="E45" s="12">
        <v>380000</v>
      </c>
      <c r="F45" s="10" t="s">
        <v>29</v>
      </c>
      <c r="G45" s="10" t="s">
        <v>23</v>
      </c>
      <c r="H45" s="12">
        <v>380000</v>
      </c>
      <c r="I45" s="12">
        <v>168670</v>
      </c>
      <c r="J45" s="13">
        <f t="shared" si="10"/>
        <v>44.386842105263156</v>
      </c>
      <c r="K45" s="12">
        <v>337339</v>
      </c>
      <c r="L45" s="12">
        <f>H45-218486</f>
        <v>161514</v>
      </c>
      <c r="M45" s="12">
        <v>118853</v>
      </c>
      <c r="N45" s="12">
        <f t="shared" si="11"/>
        <v>76000</v>
      </c>
      <c r="O45" s="14">
        <v>1.17</v>
      </c>
      <c r="P45" s="12">
        <f t="shared" si="12"/>
        <v>138046.15384615384</v>
      </c>
      <c r="Q45" s="15">
        <f t="shared" si="13"/>
        <v>3.1691036236490779</v>
      </c>
      <c r="R45" s="15">
        <f t="shared" si="14"/>
        <v>2.3320422562846805</v>
      </c>
      <c r="S45" s="10" t="s">
        <v>24</v>
      </c>
    </row>
    <row r="46" spans="1:19" x14ac:dyDescent="0.25">
      <c r="A46" s="10" t="s">
        <v>1236</v>
      </c>
      <c r="B46" s="10" t="s">
        <v>1237</v>
      </c>
      <c r="C46" s="10" t="s">
        <v>1228</v>
      </c>
      <c r="D46" s="11">
        <v>45405</v>
      </c>
      <c r="E46" s="12">
        <v>499000</v>
      </c>
      <c r="F46" s="10" t="s">
        <v>22</v>
      </c>
      <c r="G46" s="10" t="s">
        <v>23</v>
      </c>
      <c r="H46" s="12">
        <v>499000</v>
      </c>
      <c r="I46" s="12">
        <v>219360</v>
      </c>
      <c r="J46" s="13">
        <f t="shared" si="10"/>
        <v>43.959919839679358</v>
      </c>
      <c r="K46" s="12">
        <v>438723</v>
      </c>
      <c r="L46" s="12">
        <f>H46-304253</f>
        <v>194747</v>
      </c>
      <c r="M46" s="12">
        <v>134470</v>
      </c>
      <c r="N46" s="12">
        <f t="shared" si="11"/>
        <v>99800</v>
      </c>
      <c r="O46" s="14">
        <v>0.92400000000000004</v>
      </c>
      <c r="P46" s="12">
        <f t="shared" si="12"/>
        <v>210765.15151515152</v>
      </c>
      <c r="Q46" s="15">
        <f t="shared" si="13"/>
        <v>4.8385021008987952</v>
      </c>
      <c r="R46" s="15">
        <f t="shared" si="14"/>
        <v>3.3409160475276174</v>
      </c>
      <c r="S46" s="10" t="s">
        <v>24</v>
      </c>
    </row>
    <row r="47" spans="1:19" x14ac:dyDescent="0.25">
      <c r="A47" s="10" t="s">
        <v>1238</v>
      </c>
      <c r="B47" s="10" t="s">
        <v>1239</v>
      </c>
      <c r="C47" s="10" t="s">
        <v>1228</v>
      </c>
      <c r="D47" s="11">
        <v>45177</v>
      </c>
      <c r="E47" s="12">
        <v>850000</v>
      </c>
      <c r="F47" s="10" t="s">
        <v>22</v>
      </c>
      <c r="G47" s="10" t="s">
        <v>23</v>
      </c>
      <c r="H47" s="12">
        <v>850000</v>
      </c>
      <c r="I47" s="12">
        <v>445650</v>
      </c>
      <c r="J47" s="13">
        <f t="shared" si="10"/>
        <v>52.429411764705883</v>
      </c>
      <c r="K47" s="12">
        <v>891290</v>
      </c>
      <c r="L47" s="12">
        <f>H47-759717</f>
        <v>90283</v>
      </c>
      <c r="M47" s="12">
        <v>131573</v>
      </c>
      <c r="N47" s="12">
        <f t="shared" si="11"/>
        <v>170000</v>
      </c>
      <c r="O47" s="14">
        <v>0.79100000000000004</v>
      </c>
      <c r="P47" s="12">
        <f t="shared" si="12"/>
        <v>114137.80025284449</v>
      </c>
      <c r="Q47" s="15">
        <f t="shared" si="13"/>
        <v>2.6202433483205807</v>
      </c>
      <c r="R47" s="15">
        <f t="shared" si="14"/>
        <v>3.8185846512475639</v>
      </c>
      <c r="S47" s="10" t="s">
        <v>24</v>
      </c>
    </row>
    <row r="48" spans="1:19" x14ac:dyDescent="0.25">
      <c r="A48" s="10" t="s">
        <v>1240</v>
      </c>
      <c r="B48" s="10" t="s">
        <v>1241</v>
      </c>
      <c r="C48" s="10" t="s">
        <v>1228</v>
      </c>
      <c r="D48" s="11">
        <v>45588</v>
      </c>
      <c r="E48" s="12">
        <v>480000</v>
      </c>
      <c r="F48" s="10" t="s">
        <v>22</v>
      </c>
      <c r="G48" s="10" t="s">
        <v>23</v>
      </c>
      <c r="H48" s="12">
        <v>480000</v>
      </c>
      <c r="I48" s="12">
        <v>266440</v>
      </c>
      <c r="J48" s="13">
        <f t="shared" si="10"/>
        <v>55.50833333333334</v>
      </c>
      <c r="K48" s="12">
        <v>532880</v>
      </c>
      <c r="L48" s="12">
        <f>H48-383905</f>
        <v>96095</v>
      </c>
      <c r="M48" s="12">
        <v>148975</v>
      </c>
      <c r="N48" s="12">
        <f t="shared" si="11"/>
        <v>96000</v>
      </c>
      <c r="O48" s="14">
        <v>1.59</v>
      </c>
      <c r="P48" s="12">
        <f t="shared" si="12"/>
        <v>60437.106918238991</v>
      </c>
      <c r="Q48" s="15">
        <f t="shared" si="13"/>
        <v>1.3874450624021808</v>
      </c>
      <c r="R48" s="15">
        <f t="shared" si="14"/>
        <v>2.1509405085734414</v>
      </c>
      <c r="S48" s="10" t="s">
        <v>24</v>
      </c>
    </row>
    <row r="49" spans="1:19" x14ac:dyDescent="0.25">
      <c r="A49" s="10" t="s">
        <v>1242</v>
      </c>
      <c r="B49" s="10" t="s">
        <v>1243</v>
      </c>
      <c r="C49" s="10" t="s">
        <v>1228</v>
      </c>
      <c r="D49" s="11">
        <v>45121</v>
      </c>
      <c r="E49" s="12">
        <v>750000</v>
      </c>
      <c r="F49" s="10" t="s">
        <v>22</v>
      </c>
      <c r="G49" s="10" t="s">
        <v>23</v>
      </c>
      <c r="H49" s="12">
        <v>750000</v>
      </c>
      <c r="I49" s="12">
        <v>288740</v>
      </c>
      <c r="J49" s="13">
        <f t="shared" si="10"/>
        <v>38.498666666666665</v>
      </c>
      <c r="K49" s="12">
        <v>577483</v>
      </c>
      <c r="L49" s="12">
        <f>H49-433822</f>
        <v>316178</v>
      </c>
      <c r="M49" s="12">
        <v>143661</v>
      </c>
      <c r="N49" s="12">
        <f t="shared" si="11"/>
        <v>150000</v>
      </c>
      <c r="O49" s="14">
        <v>1.3460000000000001</v>
      </c>
      <c r="P49" s="12">
        <f t="shared" si="12"/>
        <v>234901.93164933132</v>
      </c>
      <c r="Q49" s="15">
        <f t="shared" si="13"/>
        <v>5.3926063280379095</v>
      </c>
      <c r="R49" s="15">
        <f t="shared" si="14"/>
        <v>2.4502249292874714</v>
      </c>
      <c r="S49" s="10" t="s">
        <v>24</v>
      </c>
    </row>
    <row r="50" spans="1:19" x14ac:dyDescent="0.25">
      <c r="A50" s="10" t="s">
        <v>1244</v>
      </c>
      <c r="B50" s="10" t="s">
        <v>1245</v>
      </c>
      <c r="C50" s="10" t="s">
        <v>1228</v>
      </c>
      <c r="D50" s="11">
        <v>45030</v>
      </c>
      <c r="E50" s="12">
        <v>507000</v>
      </c>
      <c r="F50" s="10" t="s">
        <v>29</v>
      </c>
      <c r="G50" s="10" t="s">
        <v>23</v>
      </c>
      <c r="H50" s="12">
        <v>507000</v>
      </c>
      <c r="I50" s="12">
        <v>248590</v>
      </c>
      <c r="J50" s="13">
        <f t="shared" si="10"/>
        <v>49.031558185404336</v>
      </c>
      <c r="K50" s="12">
        <v>497179</v>
      </c>
      <c r="L50" s="12">
        <f>H50-363820</f>
        <v>143180</v>
      </c>
      <c r="M50" s="12">
        <v>133359</v>
      </c>
      <c r="N50" s="12">
        <f t="shared" si="11"/>
        <v>101400</v>
      </c>
      <c r="O50" s="14">
        <v>0.873</v>
      </c>
      <c r="P50" s="12">
        <f t="shared" si="12"/>
        <v>164009.16380297823</v>
      </c>
      <c r="Q50" s="15">
        <f t="shared" si="13"/>
        <v>3.765132318709326</v>
      </c>
      <c r="R50" s="15">
        <f t="shared" si="14"/>
        <v>3.506874430023446</v>
      </c>
      <c r="S50" s="10" t="s">
        <v>24</v>
      </c>
    </row>
    <row r="51" spans="1:19" x14ac:dyDescent="0.25">
      <c r="A51" s="10" t="s">
        <v>1246</v>
      </c>
      <c r="B51" s="10" t="s">
        <v>1247</v>
      </c>
      <c r="C51" s="10" t="s">
        <v>1228</v>
      </c>
      <c r="D51" s="11">
        <v>45664</v>
      </c>
      <c r="E51" s="12">
        <v>469995</v>
      </c>
      <c r="F51" s="10" t="s">
        <v>29</v>
      </c>
      <c r="G51" s="10" t="s">
        <v>23</v>
      </c>
      <c r="H51" s="12">
        <v>469995</v>
      </c>
      <c r="I51" s="12">
        <v>182990</v>
      </c>
      <c r="J51" s="13">
        <f t="shared" si="10"/>
        <v>38.934456749539883</v>
      </c>
      <c r="K51" s="12">
        <v>365989</v>
      </c>
      <c r="L51" s="12">
        <f>H51-250523</f>
        <v>219472</v>
      </c>
      <c r="M51" s="12">
        <v>115466</v>
      </c>
      <c r="N51" s="12">
        <f t="shared" si="11"/>
        <v>93999</v>
      </c>
      <c r="O51" s="14">
        <v>0.98699999999999999</v>
      </c>
      <c r="P51" s="12">
        <f t="shared" si="12"/>
        <v>222362.71529888551</v>
      </c>
      <c r="Q51" s="15">
        <f t="shared" si="13"/>
        <v>5.1047455302774454</v>
      </c>
      <c r="R51" s="15">
        <f t="shared" si="14"/>
        <v>2.6856480434816992</v>
      </c>
      <c r="S51" s="10" t="s">
        <v>24</v>
      </c>
    </row>
    <row r="52" spans="1:19" ht="15.75" thickBot="1" x14ac:dyDescent="0.3">
      <c r="A52" s="16"/>
      <c r="B52" s="16"/>
      <c r="C52" s="16"/>
      <c r="D52" s="17"/>
      <c r="E52" s="18"/>
      <c r="F52" s="16"/>
      <c r="G52" s="16"/>
      <c r="H52" s="18"/>
      <c r="I52" s="18"/>
      <c r="J52" s="19"/>
      <c r="K52" s="18"/>
      <c r="L52" s="18">
        <f>AVERAGE(L42:L51)</f>
        <v>142160.6</v>
      </c>
      <c r="M52" s="18">
        <f>AVERAGE(M42:M51)</f>
        <v>132904.70000000001</v>
      </c>
      <c r="N52" s="18">
        <f>AVERAGE(N42:N51)</f>
        <v>106742.76000000001</v>
      </c>
      <c r="O52" s="20"/>
      <c r="P52" s="18"/>
      <c r="Q52" s="21">
        <f>AVERAGE(Q42:Q51)</f>
        <v>3.2095930930754371</v>
      </c>
      <c r="R52" s="21">
        <f>AVERAGE(R42:R51)</f>
        <v>3.0473372063059947</v>
      </c>
      <c r="S52" s="16"/>
    </row>
    <row r="53" spans="1:19" ht="15.75" thickTop="1" x14ac:dyDescent="0.25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D995-606B-4423-A284-CFCA12A9C0E1}">
  <dimension ref="A1:S67"/>
  <sheetViews>
    <sheetView workbookViewId="0">
      <selection activeCell="A62" sqref="A62:XFD65"/>
    </sheetView>
  </sheetViews>
  <sheetFormatPr defaultRowHeight="15" x14ac:dyDescent="0.25"/>
  <cols>
    <col min="1" max="1" width="12.42578125" bestFit="1" customWidth="1"/>
    <col min="2" max="2" width="18.5703125" bestFit="1" customWidth="1"/>
    <col min="3" max="3" width="12.5703125" bestFit="1" customWidth="1"/>
    <col min="13" max="13" width="10.8554687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180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1248</v>
      </c>
      <c r="B2" s="10" t="s">
        <v>1249</v>
      </c>
      <c r="C2" s="10" t="s">
        <v>1250</v>
      </c>
      <c r="D2" s="11">
        <v>45155</v>
      </c>
      <c r="E2" s="12">
        <v>1025000</v>
      </c>
      <c r="F2" s="10" t="s">
        <v>29</v>
      </c>
      <c r="G2" s="10" t="s">
        <v>23</v>
      </c>
      <c r="H2" s="12">
        <v>1025000</v>
      </c>
      <c r="I2" s="12">
        <v>514920</v>
      </c>
      <c r="J2" s="13">
        <f>I2/H2*100</f>
        <v>50.236097560975615</v>
      </c>
      <c r="K2" s="12">
        <v>1029843</v>
      </c>
      <c r="L2" s="12">
        <f>H2-635494</f>
        <v>389506</v>
      </c>
      <c r="M2" s="12">
        <v>394349</v>
      </c>
      <c r="N2" s="12">
        <f>E2*0.2</f>
        <v>205000</v>
      </c>
      <c r="O2" s="14">
        <v>1.1100000000000001</v>
      </c>
      <c r="P2" s="12">
        <f>L2/O2</f>
        <v>350906.30630630627</v>
      </c>
      <c r="Q2" s="15">
        <f>L2/O2/43560</f>
        <v>8.0557003284275996</v>
      </c>
      <c r="R2" s="15">
        <f>M2/O2/43560</f>
        <v>8.1558624740442927</v>
      </c>
      <c r="S2" s="10" t="s">
        <v>24</v>
      </c>
    </row>
    <row r="3" spans="1:19" x14ac:dyDescent="0.25">
      <c r="A3" s="10" t="s">
        <v>1251</v>
      </c>
      <c r="B3" s="10" t="s">
        <v>1252</v>
      </c>
      <c r="C3" s="10" t="s">
        <v>1250</v>
      </c>
      <c r="D3" s="11">
        <v>45078</v>
      </c>
      <c r="E3" s="12">
        <v>1245000</v>
      </c>
      <c r="F3" s="10" t="s">
        <v>22</v>
      </c>
      <c r="G3" s="10" t="s">
        <v>23</v>
      </c>
      <c r="H3" s="12">
        <v>1245000</v>
      </c>
      <c r="I3" s="12">
        <v>645390</v>
      </c>
      <c r="J3" s="13">
        <f>I3/H3*100</f>
        <v>51.838554216867472</v>
      </c>
      <c r="K3" s="12">
        <v>1290789</v>
      </c>
      <c r="L3" s="12">
        <f>H3-1016579</f>
        <v>228421</v>
      </c>
      <c r="M3" s="12">
        <v>274210</v>
      </c>
      <c r="N3" s="12">
        <f>E3*0.2</f>
        <v>249000</v>
      </c>
      <c r="O3" s="14">
        <v>0.61</v>
      </c>
      <c r="P3" s="12">
        <f>L3/O3</f>
        <v>374460.65573770495</v>
      </c>
      <c r="Q3" s="15">
        <f>L3/O3/43560</f>
        <v>8.5964337864486904</v>
      </c>
      <c r="R3" s="15">
        <f>M3/O3/43560</f>
        <v>10.319664604314381</v>
      </c>
      <c r="S3" s="10" t="s">
        <v>24</v>
      </c>
    </row>
    <row r="4" spans="1:19" ht="15.75" thickBot="1" x14ac:dyDescent="0.3">
      <c r="A4" s="16"/>
      <c r="B4" s="16"/>
      <c r="C4" s="16"/>
      <c r="D4" s="17"/>
      <c r="E4" s="18"/>
      <c r="F4" s="16"/>
      <c r="G4" s="16"/>
      <c r="H4" s="18"/>
      <c r="I4" s="18"/>
      <c r="J4" s="19"/>
      <c r="K4" s="18"/>
      <c r="L4" s="18">
        <f>AVERAGE(L2:L3)</f>
        <v>308963.5</v>
      </c>
      <c r="M4" s="18">
        <f>AVERAGE(M2:M3)</f>
        <v>334279.5</v>
      </c>
      <c r="N4" s="18">
        <f>AVERAGE(N2:N3)</f>
        <v>227000</v>
      </c>
      <c r="O4" s="20"/>
      <c r="P4" s="18"/>
      <c r="Q4" s="21">
        <f>AVERAGE(Q2:Q3)</f>
        <v>8.326067057438145</v>
      </c>
      <c r="R4" s="21">
        <f>AVERAGE(R2:R3)</f>
        <v>9.2377635391793369</v>
      </c>
      <c r="S4" s="16"/>
    </row>
    <row r="5" spans="1:19" ht="15.75" thickTop="1" x14ac:dyDescent="0.25">
      <c r="A5" s="10"/>
      <c r="B5" s="10"/>
      <c r="C5" s="10"/>
      <c r="D5" s="11"/>
      <c r="E5" s="12"/>
      <c r="F5" s="10"/>
      <c r="G5" s="10"/>
      <c r="H5" s="12"/>
      <c r="I5" s="12"/>
      <c r="J5" s="13"/>
      <c r="K5" s="12"/>
      <c r="L5" s="12"/>
      <c r="M5" s="12"/>
      <c r="N5" s="12"/>
      <c r="O5" s="14"/>
      <c r="P5" s="12"/>
      <c r="Q5" s="15"/>
      <c r="R5" s="15"/>
      <c r="S5" s="10"/>
    </row>
    <row r="6" spans="1:19" x14ac:dyDescent="0.25">
      <c r="A6" s="10"/>
      <c r="B6" s="10"/>
      <c r="C6" s="10"/>
      <c r="D6" s="11"/>
      <c r="E6" s="12"/>
      <c r="F6" s="10"/>
      <c r="G6" s="10"/>
      <c r="H6" s="12"/>
      <c r="I6" s="12"/>
      <c r="J6" s="13"/>
      <c r="K6" s="12"/>
      <c r="L6" s="12"/>
      <c r="M6" s="12"/>
      <c r="N6" s="12"/>
      <c r="O6" s="14"/>
      <c r="P6" s="12"/>
      <c r="Q6" s="15"/>
      <c r="R6" s="15"/>
      <c r="S6" s="10"/>
    </row>
    <row r="7" spans="1:19" x14ac:dyDescent="0.25">
      <c r="A7" s="10" t="s">
        <v>1253</v>
      </c>
      <c r="B7" s="10" t="s">
        <v>1254</v>
      </c>
      <c r="C7" s="10" t="s">
        <v>1255</v>
      </c>
      <c r="D7" s="11">
        <v>45387</v>
      </c>
      <c r="E7" s="12">
        <v>750000</v>
      </c>
      <c r="F7" s="10" t="s">
        <v>29</v>
      </c>
      <c r="G7" s="10" t="s">
        <v>23</v>
      </c>
      <c r="H7" s="12">
        <v>750000</v>
      </c>
      <c r="I7" s="12">
        <v>278750</v>
      </c>
      <c r="J7" s="13">
        <f t="shared" ref="J7:J12" si="0">I7/H7*100</f>
        <v>37.166666666666664</v>
      </c>
      <c r="K7" s="12">
        <v>557490</v>
      </c>
      <c r="L7" s="12">
        <f>H7-355624</f>
        <v>394376</v>
      </c>
      <c r="M7" s="12">
        <v>201866</v>
      </c>
      <c r="N7" s="12">
        <f t="shared" ref="N7:N12" si="1">E7*0.2</f>
        <v>150000</v>
      </c>
      <c r="O7" s="14">
        <v>1.218</v>
      </c>
      <c r="P7" s="12">
        <f t="shared" ref="P7:P12" si="2">L7/O7</f>
        <v>323789.81937602628</v>
      </c>
      <c r="Q7" s="15">
        <f t="shared" ref="Q7:Q12" si="3">L7/O7/43560</f>
        <v>7.433191445730631</v>
      </c>
      <c r="R7" s="15">
        <f t="shared" ref="R7:R12" si="4">M7/O7/43560</f>
        <v>3.8047665790612499</v>
      </c>
      <c r="S7" s="10" t="s">
        <v>24</v>
      </c>
    </row>
    <row r="8" spans="1:19" x14ac:dyDescent="0.25">
      <c r="A8" s="10" t="s">
        <v>1256</v>
      </c>
      <c r="B8" s="10" t="s">
        <v>1257</v>
      </c>
      <c r="C8" s="10" t="s">
        <v>1255</v>
      </c>
      <c r="D8" s="11">
        <v>45470</v>
      </c>
      <c r="E8" s="12">
        <v>585000</v>
      </c>
      <c r="F8" s="10" t="s">
        <v>29</v>
      </c>
      <c r="G8" s="10" t="s">
        <v>23</v>
      </c>
      <c r="H8" s="12">
        <v>585000</v>
      </c>
      <c r="I8" s="12">
        <v>260740</v>
      </c>
      <c r="J8" s="13">
        <f t="shared" si="0"/>
        <v>44.570940170940169</v>
      </c>
      <c r="K8" s="12">
        <v>521479</v>
      </c>
      <c r="L8" s="12">
        <f>H8-346531</f>
        <v>238469</v>
      </c>
      <c r="M8" s="12">
        <v>174948</v>
      </c>
      <c r="N8" s="12">
        <f t="shared" si="1"/>
        <v>117000</v>
      </c>
      <c r="O8" s="14">
        <v>0.745</v>
      </c>
      <c r="P8" s="12">
        <f t="shared" si="2"/>
        <v>320092.61744966445</v>
      </c>
      <c r="Q8" s="15">
        <f t="shared" si="3"/>
        <v>7.3483153684495974</v>
      </c>
      <c r="R8" s="15">
        <f t="shared" si="4"/>
        <v>5.3909442194982153</v>
      </c>
      <c r="S8" s="10" t="s">
        <v>24</v>
      </c>
    </row>
    <row r="9" spans="1:19" x14ac:dyDescent="0.25">
      <c r="A9" s="10" t="s">
        <v>1258</v>
      </c>
      <c r="B9" s="10" t="s">
        <v>1259</v>
      </c>
      <c r="C9" s="10" t="s">
        <v>1255</v>
      </c>
      <c r="D9" s="11">
        <v>45482</v>
      </c>
      <c r="E9" s="12">
        <v>649500</v>
      </c>
      <c r="F9" s="10" t="s">
        <v>22</v>
      </c>
      <c r="G9" s="10" t="s">
        <v>23</v>
      </c>
      <c r="H9" s="12">
        <v>649500</v>
      </c>
      <c r="I9" s="12">
        <v>304930</v>
      </c>
      <c r="J9" s="13">
        <f t="shared" si="0"/>
        <v>46.948421862971514</v>
      </c>
      <c r="K9" s="12">
        <v>609865</v>
      </c>
      <c r="L9" s="12">
        <f>H9-381850</f>
        <v>267650</v>
      </c>
      <c r="M9" s="12">
        <v>228015</v>
      </c>
      <c r="N9" s="12">
        <f t="shared" si="1"/>
        <v>129900</v>
      </c>
      <c r="O9" s="14">
        <v>1.073</v>
      </c>
      <c r="P9" s="12">
        <f t="shared" si="2"/>
        <v>249440.8201304753</v>
      </c>
      <c r="Q9" s="15">
        <f t="shared" si="3"/>
        <v>5.726373281232215</v>
      </c>
      <c r="R9" s="15">
        <f t="shared" si="4"/>
        <v>4.878382229479409</v>
      </c>
      <c r="S9" s="10" t="s">
        <v>24</v>
      </c>
    </row>
    <row r="10" spans="1:19" x14ac:dyDescent="0.25">
      <c r="A10" s="10" t="s">
        <v>1260</v>
      </c>
      <c r="B10" s="10" t="s">
        <v>1261</v>
      </c>
      <c r="C10" s="10" t="s">
        <v>1255</v>
      </c>
      <c r="D10" s="11">
        <v>45475</v>
      </c>
      <c r="E10" s="12">
        <v>687000</v>
      </c>
      <c r="F10" s="10" t="s">
        <v>29</v>
      </c>
      <c r="G10" s="10" t="s">
        <v>23</v>
      </c>
      <c r="H10" s="12">
        <v>687000</v>
      </c>
      <c r="I10" s="12">
        <v>370840</v>
      </c>
      <c r="J10" s="13">
        <f t="shared" si="0"/>
        <v>53.979621542940315</v>
      </c>
      <c r="K10" s="12">
        <v>741683</v>
      </c>
      <c r="L10" s="12">
        <f>H10-536080</f>
        <v>150920</v>
      </c>
      <c r="M10" s="12">
        <v>205603</v>
      </c>
      <c r="N10" s="12">
        <f t="shared" si="1"/>
        <v>137400</v>
      </c>
      <c r="O10" s="14">
        <v>0.74399999999999999</v>
      </c>
      <c r="P10" s="12">
        <f t="shared" si="2"/>
        <v>202849.4623655914</v>
      </c>
      <c r="Q10" s="15">
        <f t="shared" si="3"/>
        <v>4.6567828825893347</v>
      </c>
      <c r="R10" s="15">
        <f t="shared" si="4"/>
        <v>6.3440798503115223</v>
      </c>
      <c r="S10" s="10" t="s">
        <v>24</v>
      </c>
    </row>
    <row r="11" spans="1:19" x14ac:dyDescent="0.25">
      <c r="A11" s="10" t="s">
        <v>1262</v>
      </c>
      <c r="B11" s="10" t="s">
        <v>1263</v>
      </c>
      <c r="C11" s="10" t="s">
        <v>1255</v>
      </c>
      <c r="D11" s="11">
        <v>45051</v>
      </c>
      <c r="E11" s="12">
        <v>755000</v>
      </c>
      <c r="F11" s="10" t="s">
        <v>22</v>
      </c>
      <c r="G11" s="10" t="s">
        <v>23</v>
      </c>
      <c r="H11" s="12">
        <v>755000</v>
      </c>
      <c r="I11" s="12">
        <v>215590</v>
      </c>
      <c r="J11" s="13">
        <f t="shared" si="0"/>
        <v>28.554966887417216</v>
      </c>
      <c r="K11" s="12">
        <v>431171</v>
      </c>
      <c r="L11" s="12">
        <f>H11-218054</f>
        <v>536946</v>
      </c>
      <c r="M11" s="12">
        <v>213117</v>
      </c>
      <c r="N11" s="12">
        <f t="shared" si="1"/>
        <v>151000</v>
      </c>
      <c r="O11" s="14">
        <v>0.84499999999999997</v>
      </c>
      <c r="P11" s="12">
        <f t="shared" si="2"/>
        <v>635439.05325443787</v>
      </c>
      <c r="Q11" s="15">
        <f t="shared" si="3"/>
        <v>14.58767339886221</v>
      </c>
      <c r="R11" s="15">
        <f t="shared" si="4"/>
        <v>5.7899326780445666</v>
      </c>
      <c r="S11" s="10" t="s">
        <v>24</v>
      </c>
    </row>
    <row r="12" spans="1:19" x14ac:dyDescent="0.25">
      <c r="A12" s="10" t="s">
        <v>1262</v>
      </c>
      <c r="B12" s="10" t="s">
        <v>1263</v>
      </c>
      <c r="C12" s="10" t="s">
        <v>1255</v>
      </c>
      <c r="D12" s="11">
        <v>45687</v>
      </c>
      <c r="E12" s="12">
        <v>856000</v>
      </c>
      <c r="F12" s="10" t="s">
        <v>22</v>
      </c>
      <c r="G12" s="10" t="s">
        <v>23</v>
      </c>
      <c r="H12" s="12">
        <v>856000</v>
      </c>
      <c r="I12" s="12">
        <v>242720</v>
      </c>
      <c r="J12" s="13">
        <f t="shared" si="0"/>
        <v>28.355140186915889</v>
      </c>
      <c r="K12" s="12">
        <v>485433</v>
      </c>
      <c r="L12" s="12">
        <f>H12-272316</f>
        <v>583684</v>
      </c>
      <c r="M12" s="12">
        <v>213117</v>
      </c>
      <c r="N12" s="12">
        <f t="shared" si="1"/>
        <v>171200</v>
      </c>
      <c r="O12" s="14">
        <v>0.84499999999999997</v>
      </c>
      <c r="P12" s="12">
        <f t="shared" si="2"/>
        <v>690750.29585798818</v>
      </c>
      <c r="Q12" s="15">
        <f t="shared" si="3"/>
        <v>15.85744480849376</v>
      </c>
      <c r="R12" s="15">
        <f t="shared" si="4"/>
        <v>5.7899326780445666</v>
      </c>
      <c r="S12" s="10" t="s">
        <v>24</v>
      </c>
    </row>
    <row r="13" spans="1:19" ht="15.75" thickBot="1" x14ac:dyDescent="0.3">
      <c r="A13" s="16"/>
      <c r="B13" s="16"/>
      <c r="C13" s="16"/>
      <c r="D13" s="17"/>
      <c r="E13" s="18"/>
      <c r="F13" s="16"/>
      <c r="G13" s="16"/>
      <c r="H13" s="18"/>
      <c r="I13" s="18"/>
      <c r="J13" s="19"/>
      <c r="K13" s="18"/>
      <c r="L13" s="18">
        <f>AVERAGE(L7:L12)</f>
        <v>362007.5</v>
      </c>
      <c r="M13" s="18">
        <f>AVERAGE(M7:M12)</f>
        <v>206111</v>
      </c>
      <c r="N13" s="18">
        <f>AVERAGE(N7:N12)</f>
        <v>142750</v>
      </c>
      <c r="O13" s="20"/>
      <c r="P13" s="18"/>
      <c r="Q13" s="21">
        <f>AVERAGE(Q7:Q12)</f>
        <v>9.2682968642262917</v>
      </c>
      <c r="R13" s="21">
        <f>AVERAGE(R7:R12)</f>
        <v>5.3330063724065875</v>
      </c>
      <c r="S13" s="16"/>
    </row>
    <row r="14" spans="1:19" ht="15.75" thickTop="1" x14ac:dyDescent="0.25">
      <c r="A14" s="10"/>
      <c r="B14" s="10"/>
      <c r="C14" s="10"/>
      <c r="D14" s="11"/>
      <c r="E14" s="12"/>
      <c r="F14" s="10"/>
      <c r="G14" s="10"/>
      <c r="H14" s="12"/>
      <c r="I14" s="12"/>
      <c r="J14" s="13"/>
      <c r="K14" s="12"/>
      <c r="L14" s="12"/>
      <c r="M14" s="12"/>
      <c r="N14" s="12"/>
      <c r="O14" s="14"/>
      <c r="P14" s="12"/>
      <c r="Q14" s="15"/>
      <c r="R14" s="15"/>
      <c r="S14" s="10"/>
    </row>
    <row r="15" spans="1:19" x14ac:dyDescent="0.25">
      <c r="A15" s="10"/>
      <c r="B15" s="10"/>
      <c r="C15" s="10"/>
      <c r="D15" s="11"/>
      <c r="E15" s="12"/>
      <c r="F15" s="10"/>
      <c r="G15" s="10"/>
      <c r="H15" s="12"/>
      <c r="I15" s="12"/>
      <c r="J15" s="13"/>
      <c r="K15" s="12"/>
      <c r="L15" s="12"/>
      <c r="M15" s="12"/>
      <c r="N15" s="12"/>
      <c r="O15" s="14"/>
      <c r="P15" s="12"/>
      <c r="Q15" s="15"/>
      <c r="R15" s="15"/>
      <c r="S15" s="10"/>
    </row>
    <row r="16" spans="1:19" x14ac:dyDescent="0.25">
      <c r="A16" s="10" t="s">
        <v>1264</v>
      </c>
      <c r="B16" s="10" t="s">
        <v>1265</v>
      </c>
      <c r="C16" s="10" t="s">
        <v>1266</v>
      </c>
      <c r="D16" s="11">
        <v>45119</v>
      </c>
      <c r="E16" s="12">
        <v>813000</v>
      </c>
      <c r="F16" s="10" t="s">
        <v>22</v>
      </c>
      <c r="G16" s="10" t="s">
        <v>23</v>
      </c>
      <c r="H16" s="12">
        <v>813000</v>
      </c>
      <c r="I16" s="12">
        <v>418280</v>
      </c>
      <c r="J16" s="13">
        <f t="shared" ref="J16:J23" si="5">I16/H16*100</f>
        <v>51.448954489544896</v>
      </c>
      <c r="K16" s="12">
        <v>836552</v>
      </c>
      <c r="L16" s="12">
        <f>H16-599215</f>
        <v>213785</v>
      </c>
      <c r="M16" s="12">
        <v>237337</v>
      </c>
      <c r="N16" s="12">
        <f t="shared" ref="N16:N23" si="6">E16*0.2</f>
        <v>162600</v>
      </c>
      <c r="O16" s="14">
        <v>1.44</v>
      </c>
      <c r="P16" s="12">
        <f t="shared" ref="P16:P23" si="7">L16/O16</f>
        <v>148461.80555555556</v>
      </c>
      <c r="Q16" s="15">
        <f t="shared" ref="Q16:Q23" si="8">L16/O16/43560</f>
        <v>3.408214085297419</v>
      </c>
      <c r="R16" s="15">
        <f t="shared" ref="R16:R23" si="9">M16/O16/43560</f>
        <v>3.7836859759208248</v>
      </c>
      <c r="S16" s="10" t="s">
        <v>24</v>
      </c>
    </row>
    <row r="17" spans="1:19" x14ac:dyDescent="0.25">
      <c r="A17" s="10" t="s">
        <v>1267</v>
      </c>
      <c r="B17" s="10" t="s">
        <v>1268</v>
      </c>
      <c r="C17" s="10" t="s">
        <v>1266</v>
      </c>
      <c r="D17" s="11">
        <v>45492</v>
      </c>
      <c r="E17" s="12">
        <v>549000</v>
      </c>
      <c r="F17" s="10" t="s">
        <v>22</v>
      </c>
      <c r="G17" s="10" t="s">
        <v>23</v>
      </c>
      <c r="H17" s="12">
        <v>549000</v>
      </c>
      <c r="I17" s="12">
        <v>286130</v>
      </c>
      <c r="J17" s="13">
        <f t="shared" si="5"/>
        <v>52.118397085610205</v>
      </c>
      <c r="K17" s="12">
        <v>572265</v>
      </c>
      <c r="L17" s="12">
        <f>H17-298077</f>
        <v>250923</v>
      </c>
      <c r="M17" s="12">
        <v>274188</v>
      </c>
      <c r="N17" s="12">
        <f t="shared" si="6"/>
        <v>109800</v>
      </c>
      <c r="O17" s="14">
        <v>1.363</v>
      </c>
      <c r="P17" s="12">
        <f t="shared" si="7"/>
        <v>184096.11151870873</v>
      </c>
      <c r="Q17" s="15">
        <f t="shared" si="8"/>
        <v>4.2262651863799068</v>
      </c>
      <c r="R17" s="15">
        <f t="shared" si="9"/>
        <v>4.6181147161604708</v>
      </c>
      <c r="S17" s="10" t="s">
        <v>24</v>
      </c>
    </row>
    <row r="18" spans="1:19" x14ac:dyDescent="0.25">
      <c r="A18" s="10" t="s">
        <v>1269</v>
      </c>
      <c r="B18" s="10" t="s">
        <v>1270</v>
      </c>
      <c r="C18" s="10" t="s">
        <v>1266</v>
      </c>
      <c r="D18" s="11">
        <v>45114</v>
      </c>
      <c r="E18" s="12">
        <v>715000</v>
      </c>
      <c r="F18" s="10" t="s">
        <v>22</v>
      </c>
      <c r="G18" s="10" t="s">
        <v>23</v>
      </c>
      <c r="H18" s="12">
        <v>715000</v>
      </c>
      <c r="I18" s="12">
        <v>314990</v>
      </c>
      <c r="J18" s="13">
        <f t="shared" si="5"/>
        <v>44.054545454545455</v>
      </c>
      <c r="K18" s="12">
        <v>629982</v>
      </c>
      <c r="L18" s="12">
        <f>H18-438248</f>
        <v>276752</v>
      </c>
      <c r="M18" s="12">
        <v>191734</v>
      </c>
      <c r="N18" s="12">
        <f t="shared" si="6"/>
        <v>143000</v>
      </c>
      <c r="O18" s="14">
        <v>0.93799999999999994</v>
      </c>
      <c r="P18" s="12">
        <f t="shared" si="7"/>
        <v>295044.77611940302</v>
      </c>
      <c r="Q18" s="15">
        <f t="shared" si="8"/>
        <v>6.7732960541644402</v>
      </c>
      <c r="R18" s="15">
        <f t="shared" si="9"/>
        <v>4.6925447536030989</v>
      </c>
      <c r="S18" s="10" t="s">
        <v>24</v>
      </c>
    </row>
    <row r="19" spans="1:19" x14ac:dyDescent="0.25">
      <c r="A19" s="10" t="s">
        <v>1271</v>
      </c>
      <c r="B19" s="10" t="s">
        <v>1272</v>
      </c>
      <c r="C19" s="10" t="s">
        <v>1266</v>
      </c>
      <c r="D19" s="11">
        <v>45581</v>
      </c>
      <c r="E19" s="12">
        <v>520000</v>
      </c>
      <c r="F19" s="10" t="s">
        <v>472</v>
      </c>
      <c r="G19" s="10" t="s">
        <v>23</v>
      </c>
      <c r="H19" s="12">
        <v>520000</v>
      </c>
      <c r="I19" s="12">
        <v>188070</v>
      </c>
      <c r="J19" s="13">
        <f t="shared" si="5"/>
        <v>36.167307692307695</v>
      </c>
      <c r="K19" s="12">
        <v>376136</v>
      </c>
      <c r="L19" s="12">
        <f>H19-147130</f>
        <v>372870</v>
      </c>
      <c r="M19" s="12">
        <v>229006</v>
      </c>
      <c r="N19" s="12">
        <f t="shared" si="6"/>
        <v>104000</v>
      </c>
      <c r="O19" s="14">
        <v>1.29</v>
      </c>
      <c r="P19" s="12">
        <f t="shared" si="7"/>
        <v>289046.51162790699</v>
      </c>
      <c r="Q19" s="15">
        <f t="shared" si="8"/>
        <v>6.6355948491255052</v>
      </c>
      <c r="R19" s="15">
        <f t="shared" si="9"/>
        <v>4.0753909781393922</v>
      </c>
      <c r="S19" s="10" t="s">
        <v>24</v>
      </c>
    </row>
    <row r="20" spans="1:19" x14ac:dyDescent="0.25">
      <c r="A20" s="10" t="s">
        <v>1273</v>
      </c>
      <c r="B20" s="10" t="s">
        <v>1274</v>
      </c>
      <c r="C20" s="10" t="s">
        <v>1266</v>
      </c>
      <c r="D20" s="11">
        <v>45485</v>
      </c>
      <c r="E20" s="12">
        <v>630000</v>
      </c>
      <c r="F20" s="10" t="s">
        <v>22</v>
      </c>
      <c r="G20" s="10" t="s">
        <v>23</v>
      </c>
      <c r="H20" s="12">
        <v>630000</v>
      </c>
      <c r="I20" s="12">
        <v>251110</v>
      </c>
      <c r="J20" s="13">
        <f t="shared" si="5"/>
        <v>39.858730158730161</v>
      </c>
      <c r="K20" s="12">
        <v>502213</v>
      </c>
      <c r="L20" s="12">
        <f>H20-250763</f>
        <v>379237</v>
      </c>
      <c r="M20" s="12">
        <v>251450</v>
      </c>
      <c r="N20" s="12">
        <f t="shared" si="6"/>
        <v>126000</v>
      </c>
      <c r="O20" s="14">
        <v>1.0149999999999999</v>
      </c>
      <c r="P20" s="12">
        <f t="shared" si="7"/>
        <v>373632.51231527096</v>
      </c>
      <c r="Q20" s="15">
        <f t="shared" si="8"/>
        <v>8.577422229459847</v>
      </c>
      <c r="R20" s="15">
        <f t="shared" si="9"/>
        <v>5.6871898564688541</v>
      </c>
      <c r="S20" s="10" t="s">
        <v>504</v>
      </c>
    </row>
    <row r="21" spans="1:19" x14ac:dyDescent="0.25">
      <c r="A21" s="10" t="s">
        <v>1275</v>
      </c>
      <c r="B21" s="10" t="s">
        <v>1276</v>
      </c>
      <c r="C21" s="10" t="s">
        <v>1266</v>
      </c>
      <c r="D21" s="11">
        <v>45574</v>
      </c>
      <c r="E21" s="12">
        <v>615000</v>
      </c>
      <c r="F21" s="10" t="s">
        <v>29</v>
      </c>
      <c r="G21" s="10" t="s">
        <v>23</v>
      </c>
      <c r="H21" s="12">
        <v>615000</v>
      </c>
      <c r="I21" s="12">
        <v>337740</v>
      </c>
      <c r="J21" s="13">
        <f t="shared" si="5"/>
        <v>54.917073170731712</v>
      </c>
      <c r="K21" s="12">
        <v>675489</v>
      </c>
      <c r="L21" s="12">
        <f>H21-452200</f>
        <v>162800</v>
      </c>
      <c r="M21" s="12">
        <v>223289</v>
      </c>
      <c r="N21" s="12">
        <f t="shared" si="6"/>
        <v>123000</v>
      </c>
      <c r="O21" s="14">
        <v>0.84399999999999997</v>
      </c>
      <c r="P21" s="12">
        <f t="shared" si="7"/>
        <v>192890.99526066351</v>
      </c>
      <c r="Q21" s="15">
        <f t="shared" si="8"/>
        <v>4.4281679352769396</v>
      </c>
      <c r="R21" s="15">
        <f t="shared" si="9"/>
        <v>6.073471683661257</v>
      </c>
      <c r="S21" s="10" t="s">
        <v>24</v>
      </c>
    </row>
    <row r="22" spans="1:19" x14ac:dyDescent="0.25">
      <c r="A22" s="10" t="s">
        <v>1277</v>
      </c>
      <c r="B22" s="10" t="s">
        <v>1278</v>
      </c>
      <c r="C22" s="10" t="s">
        <v>1266</v>
      </c>
      <c r="D22" s="11">
        <v>45100</v>
      </c>
      <c r="E22" s="12">
        <v>734000</v>
      </c>
      <c r="F22" s="10" t="s">
        <v>29</v>
      </c>
      <c r="G22" s="10" t="s">
        <v>23</v>
      </c>
      <c r="H22" s="12">
        <v>734000</v>
      </c>
      <c r="I22" s="12">
        <v>246510</v>
      </c>
      <c r="J22" s="13">
        <f t="shared" si="5"/>
        <v>33.584468664850135</v>
      </c>
      <c r="K22" s="12">
        <v>493023</v>
      </c>
      <c r="L22" s="12">
        <f>H22-263288</f>
        <v>470712</v>
      </c>
      <c r="M22" s="12">
        <v>229735</v>
      </c>
      <c r="N22" s="12">
        <f t="shared" si="6"/>
        <v>146800</v>
      </c>
      <c r="O22" s="14">
        <v>0.88100000000000001</v>
      </c>
      <c r="P22" s="12">
        <f t="shared" si="7"/>
        <v>534292.84903518728</v>
      </c>
      <c r="Q22" s="15">
        <f t="shared" si="8"/>
        <v>12.265676056822482</v>
      </c>
      <c r="R22" s="15">
        <f t="shared" si="9"/>
        <v>5.9863676492507372</v>
      </c>
      <c r="S22" s="10" t="s">
        <v>24</v>
      </c>
    </row>
    <row r="23" spans="1:19" x14ac:dyDescent="0.25">
      <c r="A23" s="10" t="s">
        <v>1279</v>
      </c>
      <c r="B23" s="10" t="s">
        <v>1280</v>
      </c>
      <c r="C23" s="10" t="s">
        <v>1266</v>
      </c>
      <c r="D23" s="11">
        <v>45159</v>
      </c>
      <c r="E23" s="12">
        <v>460000</v>
      </c>
      <c r="F23" s="10" t="s">
        <v>22</v>
      </c>
      <c r="G23" s="10" t="s">
        <v>23</v>
      </c>
      <c r="H23" s="12">
        <v>460000</v>
      </c>
      <c r="I23" s="12">
        <v>241400</v>
      </c>
      <c r="J23" s="13">
        <f t="shared" si="5"/>
        <v>52.478260869565219</v>
      </c>
      <c r="K23" s="12">
        <v>482791</v>
      </c>
      <c r="L23" s="12">
        <f>H23-234106</f>
        <v>225894</v>
      </c>
      <c r="M23" s="12">
        <v>248685</v>
      </c>
      <c r="N23" s="12">
        <f t="shared" si="6"/>
        <v>92000</v>
      </c>
      <c r="O23" s="14">
        <v>1.9330000000000001</v>
      </c>
      <c r="P23" s="12">
        <f t="shared" si="7"/>
        <v>116861.87273667874</v>
      </c>
      <c r="Q23" s="15">
        <f t="shared" si="8"/>
        <v>2.6827794475821563</v>
      </c>
      <c r="R23" s="15">
        <f t="shared" si="9"/>
        <v>2.9534516495434522</v>
      </c>
      <c r="S23" s="10" t="s">
        <v>24</v>
      </c>
    </row>
    <row r="24" spans="1:19" ht="15.75" thickBot="1" x14ac:dyDescent="0.3">
      <c r="A24" s="16"/>
      <c r="B24" s="16"/>
      <c r="C24" s="16"/>
      <c r="D24" s="17"/>
      <c r="E24" s="18"/>
      <c r="F24" s="16"/>
      <c r="G24" s="16"/>
      <c r="H24" s="18"/>
      <c r="I24" s="18"/>
      <c r="J24" s="19"/>
      <c r="K24" s="18"/>
      <c r="L24" s="18">
        <f>AVERAGE(L16:L23)</f>
        <v>294121.625</v>
      </c>
      <c r="M24" s="18">
        <f>AVERAGE(M16:M23)</f>
        <v>235678</v>
      </c>
      <c r="N24" s="18">
        <f>AVERAGE(N16:N23)</f>
        <v>125900</v>
      </c>
      <c r="O24" s="20"/>
      <c r="P24" s="18"/>
      <c r="Q24" s="21">
        <f>AVERAGE(Q16:Q23)</f>
        <v>6.1246769805135868</v>
      </c>
      <c r="R24" s="21">
        <f>AVERAGE(R16:R23)</f>
        <v>4.7337771578435106</v>
      </c>
      <c r="S24" s="16"/>
    </row>
    <row r="25" spans="1:19" ht="15.75" thickTop="1" x14ac:dyDescent="0.25">
      <c r="A25" s="10"/>
      <c r="B25" s="10"/>
      <c r="C25" s="10"/>
      <c r="D25" s="11"/>
      <c r="E25" s="12"/>
      <c r="F25" s="10"/>
      <c r="G25" s="10"/>
      <c r="H25" s="12"/>
      <c r="I25" s="12"/>
      <c r="J25" s="13"/>
      <c r="K25" s="12"/>
      <c r="L25" s="12"/>
      <c r="M25" s="12"/>
      <c r="N25" s="12"/>
      <c r="O25" s="14"/>
      <c r="P25" s="12"/>
      <c r="Q25" s="15"/>
      <c r="R25" s="15"/>
      <c r="S25" s="10"/>
    </row>
    <row r="26" spans="1:19" x14ac:dyDescent="0.25">
      <c r="A26" s="10"/>
      <c r="B26" s="10"/>
      <c r="C26" s="10"/>
      <c r="D26" s="11"/>
      <c r="E26" s="12"/>
      <c r="F26" s="10"/>
      <c r="G26" s="10"/>
      <c r="H26" s="12"/>
      <c r="I26" s="12"/>
      <c r="J26" s="13"/>
      <c r="K26" s="12"/>
      <c r="L26" s="12"/>
      <c r="M26" s="12"/>
      <c r="N26" s="12"/>
      <c r="O26" s="14"/>
      <c r="P26" s="12"/>
      <c r="Q26" s="15"/>
      <c r="R26" s="15"/>
      <c r="S26" s="10"/>
    </row>
    <row r="27" spans="1:19" x14ac:dyDescent="0.25">
      <c r="A27" s="10" t="s">
        <v>1281</v>
      </c>
      <c r="B27" s="10" t="s">
        <v>1282</v>
      </c>
      <c r="C27" s="10" t="s">
        <v>1283</v>
      </c>
      <c r="D27" s="11">
        <v>45604</v>
      </c>
      <c r="E27" s="12">
        <v>1200000</v>
      </c>
      <c r="F27" s="10" t="s">
        <v>29</v>
      </c>
      <c r="G27" s="10" t="s">
        <v>23</v>
      </c>
      <c r="H27" s="12">
        <v>1200000</v>
      </c>
      <c r="I27" s="12">
        <v>448470</v>
      </c>
      <c r="J27" s="13">
        <f t="shared" ref="J27:J58" si="10">I27/H27*100</f>
        <v>37.372499999999995</v>
      </c>
      <c r="K27" s="12">
        <v>896946</v>
      </c>
      <c r="L27" s="12">
        <f>H27-771493</f>
        <v>428507</v>
      </c>
      <c r="M27" s="12">
        <v>125453</v>
      </c>
      <c r="N27" s="12">
        <f t="shared" ref="N27:N58" si="11">E27*0.2</f>
        <v>240000</v>
      </c>
      <c r="O27" s="14">
        <v>0.56499999999999995</v>
      </c>
      <c r="P27" s="12">
        <f t="shared" ref="P27:P58" si="12">L27/O27</f>
        <v>758419.46902654879</v>
      </c>
      <c r="Q27" s="15">
        <f t="shared" ref="Q27:Q58" si="13">L27/O27/43560</f>
        <v>17.410915266908834</v>
      </c>
      <c r="R27" s="15">
        <f t="shared" ref="R27:R58" si="14">M27/O27/43560</f>
        <v>5.09735325905881</v>
      </c>
      <c r="S27" s="10" t="s">
        <v>24</v>
      </c>
    </row>
    <row r="28" spans="1:19" x14ac:dyDescent="0.25">
      <c r="A28" s="10" t="s">
        <v>1284</v>
      </c>
      <c r="B28" s="10" t="s">
        <v>1285</v>
      </c>
      <c r="C28" s="10" t="s">
        <v>1283</v>
      </c>
      <c r="D28" s="11">
        <v>45107</v>
      </c>
      <c r="E28" s="12">
        <v>439900</v>
      </c>
      <c r="F28" s="10" t="s">
        <v>29</v>
      </c>
      <c r="G28" s="10" t="s">
        <v>23</v>
      </c>
      <c r="H28" s="12">
        <v>439900</v>
      </c>
      <c r="I28" s="12">
        <v>234900</v>
      </c>
      <c r="J28" s="13">
        <f t="shared" si="10"/>
        <v>53.39849965901341</v>
      </c>
      <c r="K28" s="12">
        <v>469807</v>
      </c>
      <c r="L28" s="12">
        <f>H28-349494</f>
        <v>90406</v>
      </c>
      <c r="M28" s="12">
        <v>120313</v>
      </c>
      <c r="N28" s="12">
        <f t="shared" si="11"/>
        <v>87980</v>
      </c>
      <c r="O28" s="14">
        <v>0.50600000000000001</v>
      </c>
      <c r="P28" s="12">
        <f t="shared" si="12"/>
        <v>178667.98418972333</v>
      </c>
      <c r="Q28" s="15">
        <f t="shared" si="13"/>
        <v>4.1016525296079731</v>
      </c>
      <c r="R28" s="15">
        <f t="shared" si="14"/>
        <v>5.458510727105768</v>
      </c>
      <c r="S28" s="10" t="s">
        <v>24</v>
      </c>
    </row>
    <row r="29" spans="1:19" x14ac:dyDescent="0.25">
      <c r="A29" s="10" t="s">
        <v>1286</v>
      </c>
      <c r="B29" s="10" t="s">
        <v>1287</v>
      </c>
      <c r="C29" s="10" t="s">
        <v>1283</v>
      </c>
      <c r="D29" s="11">
        <v>45420</v>
      </c>
      <c r="E29" s="12">
        <v>570000</v>
      </c>
      <c r="F29" s="10" t="s">
        <v>29</v>
      </c>
      <c r="G29" s="10" t="s">
        <v>23</v>
      </c>
      <c r="H29" s="12">
        <v>570000</v>
      </c>
      <c r="I29" s="12">
        <v>265910</v>
      </c>
      <c r="J29" s="13">
        <f t="shared" si="10"/>
        <v>46.650877192982456</v>
      </c>
      <c r="K29" s="12">
        <v>531818</v>
      </c>
      <c r="L29" s="12">
        <f>H29-419695</f>
        <v>150305</v>
      </c>
      <c r="M29" s="12">
        <v>112123</v>
      </c>
      <c r="N29" s="12">
        <f t="shared" si="11"/>
        <v>114000</v>
      </c>
      <c r="O29" s="14">
        <v>0.46800000000000003</v>
      </c>
      <c r="P29" s="12">
        <f t="shared" si="12"/>
        <v>321164.52991452988</v>
      </c>
      <c r="Q29" s="15">
        <f t="shared" si="13"/>
        <v>7.3729230926200611</v>
      </c>
      <c r="R29" s="15">
        <f t="shared" si="14"/>
        <v>5.4999784166450834</v>
      </c>
      <c r="S29" s="10" t="s">
        <v>24</v>
      </c>
    </row>
    <row r="30" spans="1:19" x14ac:dyDescent="0.25">
      <c r="A30" s="10" t="s">
        <v>1288</v>
      </c>
      <c r="B30" s="10" t="s">
        <v>1289</v>
      </c>
      <c r="C30" s="10" t="s">
        <v>1283</v>
      </c>
      <c r="D30" s="11">
        <v>45421</v>
      </c>
      <c r="E30" s="12">
        <v>735000</v>
      </c>
      <c r="F30" s="10" t="s">
        <v>29</v>
      </c>
      <c r="G30" s="10" t="s">
        <v>23</v>
      </c>
      <c r="H30" s="12">
        <v>735000</v>
      </c>
      <c r="I30" s="12">
        <v>256780</v>
      </c>
      <c r="J30" s="13">
        <f t="shared" si="10"/>
        <v>34.936054421768709</v>
      </c>
      <c r="K30" s="12">
        <v>513566</v>
      </c>
      <c r="L30" s="12">
        <f>H30-402401</f>
        <v>332599</v>
      </c>
      <c r="M30" s="12">
        <v>111165</v>
      </c>
      <c r="N30" s="12">
        <f t="shared" si="11"/>
        <v>147000</v>
      </c>
      <c r="O30" s="14">
        <v>0.46400000000000002</v>
      </c>
      <c r="P30" s="12">
        <f t="shared" si="12"/>
        <v>716808.18965517241</v>
      </c>
      <c r="Q30" s="15">
        <f t="shared" si="13"/>
        <v>16.455651736803773</v>
      </c>
      <c r="R30" s="15">
        <f t="shared" si="14"/>
        <v>5.4999940628859116</v>
      </c>
      <c r="S30" s="10" t="s">
        <v>24</v>
      </c>
    </row>
    <row r="31" spans="1:19" x14ac:dyDescent="0.25">
      <c r="A31" s="10" t="s">
        <v>1290</v>
      </c>
      <c r="B31" s="10" t="s">
        <v>1291</v>
      </c>
      <c r="C31" s="10" t="s">
        <v>1283</v>
      </c>
      <c r="D31" s="11">
        <v>45716</v>
      </c>
      <c r="E31" s="12">
        <v>725000</v>
      </c>
      <c r="F31" s="10" t="s">
        <v>29</v>
      </c>
      <c r="G31" s="10" t="s">
        <v>23</v>
      </c>
      <c r="H31" s="12">
        <v>725000</v>
      </c>
      <c r="I31" s="12">
        <v>279970</v>
      </c>
      <c r="J31" s="13">
        <f t="shared" si="10"/>
        <v>38.616551724137935</v>
      </c>
      <c r="K31" s="12">
        <v>559937</v>
      </c>
      <c r="L31" s="12">
        <f>H31-451168</f>
        <v>273832</v>
      </c>
      <c r="M31" s="12">
        <v>108769</v>
      </c>
      <c r="N31" s="12">
        <f t="shared" si="11"/>
        <v>145000</v>
      </c>
      <c r="O31" s="14">
        <v>0.45400000000000001</v>
      </c>
      <c r="P31" s="12">
        <f t="shared" si="12"/>
        <v>603154.18502202642</v>
      </c>
      <c r="Q31" s="15">
        <f t="shared" si="13"/>
        <v>13.846514807668191</v>
      </c>
      <c r="R31" s="15">
        <f t="shared" si="14"/>
        <v>5.4999838189665979</v>
      </c>
      <c r="S31" s="10" t="s">
        <v>24</v>
      </c>
    </row>
    <row r="32" spans="1:19" x14ac:dyDescent="0.25">
      <c r="A32" s="10" t="s">
        <v>1292</v>
      </c>
      <c r="B32" s="10" t="s">
        <v>1293</v>
      </c>
      <c r="C32" s="10" t="s">
        <v>1283</v>
      </c>
      <c r="D32" s="11">
        <v>45078</v>
      </c>
      <c r="E32" s="12">
        <v>730000</v>
      </c>
      <c r="F32" s="10" t="s">
        <v>22</v>
      </c>
      <c r="G32" s="10" t="s">
        <v>23</v>
      </c>
      <c r="H32" s="12">
        <v>730000</v>
      </c>
      <c r="I32" s="12">
        <v>345550</v>
      </c>
      <c r="J32" s="13">
        <f t="shared" si="10"/>
        <v>47.335616438356162</v>
      </c>
      <c r="K32" s="12">
        <v>691105</v>
      </c>
      <c r="L32" s="12">
        <f>H32-579700</f>
        <v>150300</v>
      </c>
      <c r="M32" s="12">
        <v>111405</v>
      </c>
      <c r="N32" s="12">
        <f t="shared" si="11"/>
        <v>146000</v>
      </c>
      <c r="O32" s="14">
        <v>0.46500000000000002</v>
      </c>
      <c r="P32" s="12">
        <f t="shared" si="12"/>
        <v>323225.80645161291</v>
      </c>
      <c r="Q32" s="15">
        <f t="shared" si="13"/>
        <v>7.4202434906247223</v>
      </c>
      <c r="R32" s="15">
        <f t="shared" si="14"/>
        <v>5.5000148108652507</v>
      </c>
      <c r="S32" s="10" t="s">
        <v>24</v>
      </c>
    </row>
    <row r="33" spans="1:19" x14ac:dyDescent="0.25">
      <c r="A33" s="10" t="s">
        <v>1294</v>
      </c>
      <c r="B33" s="10" t="s">
        <v>1295</v>
      </c>
      <c r="C33" s="10" t="s">
        <v>1283</v>
      </c>
      <c r="D33" s="11">
        <v>45380</v>
      </c>
      <c r="E33" s="12">
        <v>500000</v>
      </c>
      <c r="F33" s="10" t="s">
        <v>29</v>
      </c>
      <c r="G33" s="10" t="s">
        <v>23</v>
      </c>
      <c r="H33" s="12">
        <v>500000</v>
      </c>
      <c r="I33" s="12">
        <v>261790</v>
      </c>
      <c r="J33" s="13">
        <f t="shared" si="10"/>
        <v>52.358000000000004</v>
      </c>
      <c r="K33" s="12">
        <v>523579</v>
      </c>
      <c r="L33" s="12">
        <f>H33-419841</f>
        <v>80159</v>
      </c>
      <c r="M33" s="12">
        <v>103738</v>
      </c>
      <c r="N33" s="12">
        <f t="shared" si="11"/>
        <v>100000</v>
      </c>
      <c r="O33" s="14">
        <v>0.433</v>
      </c>
      <c r="P33" s="12">
        <f t="shared" si="12"/>
        <v>185124.71131639724</v>
      </c>
      <c r="Q33" s="15">
        <f t="shared" si="13"/>
        <v>4.2498785885306987</v>
      </c>
      <c r="R33" s="15">
        <f t="shared" si="14"/>
        <v>5.4999925774647584</v>
      </c>
      <c r="S33" s="10" t="s">
        <v>24</v>
      </c>
    </row>
    <row r="34" spans="1:19" x14ac:dyDescent="0.25">
      <c r="A34" s="10" t="s">
        <v>1296</v>
      </c>
      <c r="B34" s="10" t="s">
        <v>1297</v>
      </c>
      <c r="C34" s="10" t="s">
        <v>1283</v>
      </c>
      <c r="D34" s="11">
        <v>45197</v>
      </c>
      <c r="E34" s="12">
        <v>488500</v>
      </c>
      <c r="F34" s="10" t="s">
        <v>22</v>
      </c>
      <c r="G34" s="10" t="s">
        <v>23</v>
      </c>
      <c r="H34" s="12">
        <v>488500</v>
      </c>
      <c r="I34" s="12">
        <v>257850</v>
      </c>
      <c r="J34" s="13">
        <f t="shared" si="10"/>
        <v>52.784032753326514</v>
      </c>
      <c r="K34" s="12">
        <v>515708</v>
      </c>
      <c r="L34" s="12">
        <f>H34-390342</f>
        <v>98158</v>
      </c>
      <c r="M34" s="12">
        <v>125366</v>
      </c>
      <c r="N34" s="12">
        <f t="shared" si="11"/>
        <v>97700</v>
      </c>
      <c r="O34" s="14">
        <v>0.56399999999999995</v>
      </c>
      <c r="P34" s="12">
        <f t="shared" si="12"/>
        <v>174039.00709219859</v>
      </c>
      <c r="Q34" s="15">
        <f t="shared" si="13"/>
        <v>3.995385837745606</v>
      </c>
      <c r="R34" s="15">
        <f t="shared" si="14"/>
        <v>5.1028499045907179</v>
      </c>
      <c r="S34" s="10" t="s">
        <v>24</v>
      </c>
    </row>
    <row r="35" spans="1:19" x14ac:dyDescent="0.25">
      <c r="A35" s="10" t="s">
        <v>1298</v>
      </c>
      <c r="B35" s="10" t="s">
        <v>1299</v>
      </c>
      <c r="C35" s="10" t="s">
        <v>1283</v>
      </c>
      <c r="D35" s="11">
        <v>45519</v>
      </c>
      <c r="E35" s="12">
        <v>625000</v>
      </c>
      <c r="F35" s="10" t="s">
        <v>29</v>
      </c>
      <c r="G35" s="10" t="s">
        <v>23</v>
      </c>
      <c r="H35" s="12">
        <v>625000</v>
      </c>
      <c r="I35" s="12">
        <v>257920</v>
      </c>
      <c r="J35" s="13">
        <f t="shared" si="10"/>
        <v>41.267199999999995</v>
      </c>
      <c r="K35" s="12">
        <v>515838</v>
      </c>
      <c r="L35" s="12">
        <f>H35-411621</f>
        <v>213379</v>
      </c>
      <c r="M35" s="12">
        <v>104217</v>
      </c>
      <c r="N35" s="12">
        <f t="shared" si="11"/>
        <v>125000</v>
      </c>
      <c r="O35" s="14">
        <v>0.435</v>
      </c>
      <c r="P35" s="12">
        <f t="shared" si="12"/>
        <v>490526.4367816092</v>
      </c>
      <c r="Q35" s="15">
        <f t="shared" si="13"/>
        <v>11.260937483508016</v>
      </c>
      <c r="R35" s="15">
        <f t="shared" si="14"/>
        <v>5.499984167695767</v>
      </c>
      <c r="S35" s="10" t="s">
        <v>24</v>
      </c>
    </row>
    <row r="36" spans="1:19" x14ac:dyDescent="0.25">
      <c r="A36" s="10" t="s">
        <v>1300</v>
      </c>
      <c r="B36" s="10" t="s">
        <v>1301</v>
      </c>
      <c r="C36" s="10" t="s">
        <v>1283</v>
      </c>
      <c r="D36" s="11">
        <v>45611</v>
      </c>
      <c r="E36" s="12">
        <v>395000</v>
      </c>
      <c r="F36" s="10" t="s">
        <v>22</v>
      </c>
      <c r="G36" s="10" t="s">
        <v>23</v>
      </c>
      <c r="H36" s="12">
        <v>395000</v>
      </c>
      <c r="I36" s="12">
        <v>189500</v>
      </c>
      <c r="J36" s="13">
        <f t="shared" si="10"/>
        <v>47.974683544303801</v>
      </c>
      <c r="K36" s="12">
        <v>379009</v>
      </c>
      <c r="L36" s="12">
        <f>H36-284111</f>
        <v>110889</v>
      </c>
      <c r="M36" s="12">
        <v>94898</v>
      </c>
      <c r="N36" s="12">
        <f t="shared" si="11"/>
        <v>79000</v>
      </c>
      <c r="O36" s="14">
        <v>0.46600000000000003</v>
      </c>
      <c r="P36" s="12">
        <f t="shared" si="12"/>
        <v>237959.22746781114</v>
      </c>
      <c r="Q36" s="15">
        <f t="shared" si="13"/>
        <v>5.4627921824566377</v>
      </c>
      <c r="R36" s="15">
        <f t="shared" si="14"/>
        <v>4.6750178334259482</v>
      </c>
      <c r="S36" s="10" t="s">
        <v>24</v>
      </c>
    </row>
    <row r="37" spans="1:19" x14ac:dyDescent="0.25">
      <c r="A37" s="10" t="s">
        <v>1302</v>
      </c>
      <c r="B37" s="10" t="s">
        <v>1303</v>
      </c>
      <c r="C37" s="10" t="s">
        <v>1283</v>
      </c>
      <c r="D37" s="11">
        <v>45383</v>
      </c>
      <c r="E37" s="12">
        <v>775000</v>
      </c>
      <c r="F37" s="10" t="s">
        <v>29</v>
      </c>
      <c r="G37" s="10" t="s">
        <v>23</v>
      </c>
      <c r="H37" s="12">
        <v>775000</v>
      </c>
      <c r="I37" s="12">
        <v>337290</v>
      </c>
      <c r="J37" s="13">
        <f t="shared" si="10"/>
        <v>43.521290322580647</v>
      </c>
      <c r="K37" s="12">
        <v>674575</v>
      </c>
      <c r="L37" s="12">
        <f>H37-564368</f>
        <v>210632</v>
      </c>
      <c r="M37" s="12">
        <v>110207</v>
      </c>
      <c r="N37" s="12">
        <f t="shared" si="11"/>
        <v>155000</v>
      </c>
      <c r="O37" s="14">
        <v>0.46</v>
      </c>
      <c r="P37" s="12">
        <f t="shared" si="12"/>
        <v>457895.65217391303</v>
      </c>
      <c r="Q37" s="15">
        <f t="shared" si="13"/>
        <v>10.511837745039326</v>
      </c>
      <c r="R37" s="15">
        <f t="shared" si="14"/>
        <v>5.5000099812352774</v>
      </c>
      <c r="S37" s="10" t="s">
        <v>24</v>
      </c>
    </row>
    <row r="38" spans="1:19" x14ac:dyDescent="0.25">
      <c r="A38" s="10" t="s">
        <v>1304</v>
      </c>
      <c r="B38" s="10" t="s">
        <v>1305</v>
      </c>
      <c r="C38" s="10" t="s">
        <v>1283</v>
      </c>
      <c r="D38" s="11">
        <v>45516</v>
      </c>
      <c r="E38" s="12">
        <v>445000</v>
      </c>
      <c r="F38" s="10" t="s">
        <v>29</v>
      </c>
      <c r="G38" s="10" t="s">
        <v>23</v>
      </c>
      <c r="H38" s="12">
        <v>445000</v>
      </c>
      <c r="I38" s="12">
        <v>230520</v>
      </c>
      <c r="J38" s="13">
        <f t="shared" si="10"/>
        <v>51.80224719101124</v>
      </c>
      <c r="K38" s="12">
        <v>461038</v>
      </c>
      <c r="L38" s="12">
        <f>H38-365733</f>
        <v>79267</v>
      </c>
      <c r="M38" s="12">
        <v>95305</v>
      </c>
      <c r="N38" s="12">
        <f t="shared" si="11"/>
        <v>89000</v>
      </c>
      <c r="O38" s="14">
        <v>0.46800000000000003</v>
      </c>
      <c r="P38" s="12">
        <f t="shared" si="12"/>
        <v>169373.93162393162</v>
      </c>
      <c r="Q38" s="15">
        <f t="shared" si="13"/>
        <v>3.8882904413207444</v>
      </c>
      <c r="R38" s="15">
        <f t="shared" si="14"/>
        <v>4.6750037280340306</v>
      </c>
      <c r="S38" s="10" t="s">
        <v>24</v>
      </c>
    </row>
    <row r="39" spans="1:19" x14ac:dyDescent="0.25">
      <c r="A39" s="10" t="s">
        <v>1304</v>
      </c>
      <c r="B39" s="10" t="s">
        <v>1305</v>
      </c>
      <c r="C39" s="10" t="s">
        <v>1283</v>
      </c>
      <c r="D39" s="11">
        <v>45737</v>
      </c>
      <c r="E39" s="12">
        <v>750000</v>
      </c>
      <c r="F39" s="10" t="s">
        <v>29</v>
      </c>
      <c r="G39" s="10" t="s">
        <v>23</v>
      </c>
      <c r="H39" s="12">
        <v>750000</v>
      </c>
      <c r="I39" s="12">
        <v>353400</v>
      </c>
      <c r="J39" s="13">
        <f t="shared" si="10"/>
        <v>47.12</v>
      </c>
      <c r="K39" s="12">
        <v>706793</v>
      </c>
      <c r="L39" s="12">
        <f>H39-611488</f>
        <v>138512</v>
      </c>
      <c r="M39" s="12">
        <v>95305</v>
      </c>
      <c r="N39" s="12">
        <f t="shared" si="11"/>
        <v>150000</v>
      </c>
      <c r="O39" s="14">
        <v>0.46800000000000003</v>
      </c>
      <c r="P39" s="12">
        <f t="shared" si="12"/>
        <v>295965.81196581194</v>
      </c>
      <c r="Q39" s="15">
        <f t="shared" si="13"/>
        <v>6.7944401277734601</v>
      </c>
      <c r="R39" s="15">
        <f t="shared" si="14"/>
        <v>4.6750037280340306</v>
      </c>
      <c r="S39" s="10" t="s">
        <v>24</v>
      </c>
    </row>
    <row r="40" spans="1:19" x14ac:dyDescent="0.25">
      <c r="A40" s="10" t="s">
        <v>1306</v>
      </c>
      <c r="B40" s="10" t="s">
        <v>1307</v>
      </c>
      <c r="C40" s="10" t="s">
        <v>1283</v>
      </c>
      <c r="D40" s="11">
        <v>45484</v>
      </c>
      <c r="E40" s="12">
        <v>655000</v>
      </c>
      <c r="F40" s="10" t="s">
        <v>29</v>
      </c>
      <c r="G40" s="10" t="s">
        <v>23</v>
      </c>
      <c r="H40" s="12">
        <v>655000</v>
      </c>
      <c r="I40" s="12">
        <v>240600</v>
      </c>
      <c r="J40" s="13">
        <f t="shared" si="10"/>
        <v>36.732824427480914</v>
      </c>
      <c r="K40" s="12">
        <v>481197</v>
      </c>
      <c r="L40" s="12">
        <f>H40-371721</f>
        <v>283279</v>
      </c>
      <c r="M40" s="12">
        <v>109476</v>
      </c>
      <c r="N40" s="12">
        <f t="shared" si="11"/>
        <v>131000</v>
      </c>
      <c r="O40" s="14">
        <v>0.48099999999999998</v>
      </c>
      <c r="P40" s="12">
        <f t="shared" si="12"/>
        <v>588937.62993762991</v>
      </c>
      <c r="Q40" s="15">
        <f t="shared" si="13"/>
        <v>13.520147611056702</v>
      </c>
      <c r="R40" s="15">
        <f t="shared" si="14"/>
        <v>5.2249961340870437</v>
      </c>
      <c r="S40" s="10" t="s">
        <v>24</v>
      </c>
    </row>
    <row r="41" spans="1:19" x14ac:dyDescent="0.25">
      <c r="A41" s="10" t="s">
        <v>1308</v>
      </c>
      <c r="B41" s="10" t="s">
        <v>1309</v>
      </c>
      <c r="C41" s="10" t="s">
        <v>1283</v>
      </c>
      <c r="D41" s="11">
        <v>45688</v>
      </c>
      <c r="E41" s="12">
        <v>793927</v>
      </c>
      <c r="F41" s="10" t="s">
        <v>29</v>
      </c>
      <c r="G41" s="10" t="s">
        <v>23</v>
      </c>
      <c r="H41" s="12">
        <v>793927</v>
      </c>
      <c r="I41" s="12">
        <v>385650</v>
      </c>
      <c r="J41" s="13">
        <f t="shared" si="10"/>
        <v>48.574994930264367</v>
      </c>
      <c r="K41" s="12">
        <v>771304</v>
      </c>
      <c r="L41" s="12">
        <f>H41-649946</f>
        <v>143981</v>
      </c>
      <c r="M41" s="12">
        <v>121358</v>
      </c>
      <c r="N41" s="12">
        <f t="shared" si="11"/>
        <v>158785.40000000002</v>
      </c>
      <c r="O41" s="14">
        <v>0.51800000000000002</v>
      </c>
      <c r="P41" s="12">
        <f t="shared" si="12"/>
        <v>277955.59845559846</v>
      </c>
      <c r="Q41" s="15">
        <f t="shared" si="13"/>
        <v>6.3809825173461538</v>
      </c>
      <c r="R41" s="15">
        <f t="shared" si="14"/>
        <v>5.3783712874621967</v>
      </c>
      <c r="S41" s="10" t="s">
        <v>24</v>
      </c>
    </row>
    <row r="42" spans="1:19" x14ac:dyDescent="0.25">
      <c r="A42" s="10" t="s">
        <v>1310</v>
      </c>
      <c r="B42" s="10" t="s">
        <v>1311</v>
      </c>
      <c r="C42" s="10" t="s">
        <v>1283</v>
      </c>
      <c r="D42" s="11">
        <v>45623</v>
      </c>
      <c r="E42" s="12">
        <v>423000</v>
      </c>
      <c r="F42" s="10" t="s">
        <v>29</v>
      </c>
      <c r="G42" s="10" t="s">
        <v>23</v>
      </c>
      <c r="H42" s="12">
        <v>423000</v>
      </c>
      <c r="I42" s="12">
        <v>212020</v>
      </c>
      <c r="J42" s="13">
        <f t="shared" si="10"/>
        <v>50.122931442080379</v>
      </c>
      <c r="K42" s="12">
        <v>424035</v>
      </c>
      <c r="L42" s="12">
        <f>H42-291525</f>
        <v>131475</v>
      </c>
      <c r="M42" s="12">
        <v>132510</v>
      </c>
      <c r="N42" s="12">
        <f t="shared" si="11"/>
        <v>84600</v>
      </c>
      <c r="O42" s="14">
        <v>0.64600000000000002</v>
      </c>
      <c r="P42" s="12">
        <f t="shared" si="12"/>
        <v>203521.67182662539</v>
      </c>
      <c r="Q42" s="15">
        <f t="shared" si="13"/>
        <v>4.6722146883981956</v>
      </c>
      <c r="R42" s="15">
        <f t="shared" si="14"/>
        <v>4.7089953858881524</v>
      </c>
      <c r="S42" s="10" t="s">
        <v>24</v>
      </c>
    </row>
    <row r="43" spans="1:19" x14ac:dyDescent="0.25">
      <c r="A43" s="10" t="s">
        <v>1312</v>
      </c>
      <c r="B43" s="10" t="s">
        <v>1313</v>
      </c>
      <c r="C43" s="10" t="s">
        <v>1283</v>
      </c>
      <c r="D43" s="11">
        <v>45642</v>
      </c>
      <c r="E43" s="12">
        <v>606000</v>
      </c>
      <c r="F43" s="10" t="s">
        <v>22</v>
      </c>
      <c r="G43" s="10" t="s">
        <v>23</v>
      </c>
      <c r="H43" s="12">
        <v>606000</v>
      </c>
      <c r="I43" s="12">
        <v>266230</v>
      </c>
      <c r="J43" s="13">
        <f t="shared" si="10"/>
        <v>43.932343234323433</v>
      </c>
      <c r="K43" s="12">
        <v>532466</v>
      </c>
      <c r="L43" s="12">
        <f>H43-389437</f>
        <v>216563</v>
      </c>
      <c r="M43" s="12">
        <v>143029</v>
      </c>
      <c r="N43" s="12">
        <f t="shared" si="11"/>
        <v>121200</v>
      </c>
      <c r="O43" s="14">
        <v>0.81699999999999995</v>
      </c>
      <c r="P43" s="12">
        <f t="shared" si="12"/>
        <v>265070.99143206858</v>
      </c>
      <c r="Q43" s="15">
        <f t="shared" si="13"/>
        <v>6.0851926407729238</v>
      </c>
      <c r="R43" s="15">
        <f t="shared" si="14"/>
        <v>4.0189645424985363</v>
      </c>
      <c r="S43" s="10" t="s">
        <v>24</v>
      </c>
    </row>
    <row r="44" spans="1:19" x14ac:dyDescent="0.25">
      <c r="A44" s="10" t="s">
        <v>1314</v>
      </c>
      <c r="B44" s="10" t="s">
        <v>1315</v>
      </c>
      <c r="C44" s="10" t="s">
        <v>1283</v>
      </c>
      <c r="D44" s="11">
        <v>45107</v>
      </c>
      <c r="E44" s="12">
        <v>635000</v>
      </c>
      <c r="F44" s="10" t="s">
        <v>29</v>
      </c>
      <c r="G44" s="10" t="s">
        <v>23</v>
      </c>
      <c r="H44" s="12">
        <v>635000</v>
      </c>
      <c r="I44" s="12">
        <v>261020</v>
      </c>
      <c r="J44" s="13">
        <f t="shared" si="10"/>
        <v>41.105511811023618</v>
      </c>
      <c r="K44" s="12">
        <v>522030</v>
      </c>
      <c r="L44" s="12">
        <f>H44-400968</f>
        <v>234032</v>
      </c>
      <c r="M44" s="12">
        <v>121062</v>
      </c>
      <c r="N44" s="12">
        <f t="shared" si="11"/>
        <v>127000</v>
      </c>
      <c r="O44" s="14">
        <v>0.66900000000000004</v>
      </c>
      <c r="P44" s="12">
        <f t="shared" si="12"/>
        <v>349823.61733931239</v>
      </c>
      <c r="Q44" s="15">
        <f t="shared" si="13"/>
        <v>8.0308452098097423</v>
      </c>
      <c r="R44" s="15">
        <f t="shared" si="14"/>
        <v>4.154261736813714</v>
      </c>
      <c r="S44" s="10" t="s">
        <v>24</v>
      </c>
    </row>
    <row r="45" spans="1:19" x14ac:dyDescent="0.25">
      <c r="A45" s="10" t="s">
        <v>1316</v>
      </c>
      <c r="B45" s="10" t="s">
        <v>1317</v>
      </c>
      <c r="C45" s="10" t="s">
        <v>1283</v>
      </c>
      <c r="D45" s="11">
        <v>45716</v>
      </c>
      <c r="E45" s="12">
        <v>580000</v>
      </c>
      <c r="F45" s="10" t="s">
        <v>22</v>
      </c>
      <c r="G45" s="10" t="s">
        <v>23</v>
      </c>
      <c r="H45" s="12">
        <v>580000</v>
      </c>
      <c r="I45" s="12">
        <v>221920</v>
      </c>
      <c r="J45" s="13">
        <f t="shared" si="10"/>
        <v>38.262068965517244</v>
      </c>
      <c r="K45" s="12">
        <v>443844</v>
      </c>
      <c r="L45" s="12">
        <f>H45-332200</f>
        <v>247800</v>
      </c>
      <c r="M45" s="12">
        <v>111644</v>
      </c>
      <c r="N45" s="12">
        <f t="shared" si="11"/>
        <v>116000</v>
      </c>
      <c r="O45" s="14">
        <v>0.46600000000000003</v>
      </c>
      <c r="P45" s="12">
        <f t="shared" si="12"/>
        <v>531759.65665236046</v>
      </c>
      <c r="Q45" s="15">
        <f t="shared" si="13"/>
        <v>12.207521961716264</v>
      </c>
      <c r="R45" s="15">
        <f t="shared" si="14"/>
        <v>5.499986206189873</v>
      </c>
      <c r="S45" s="10" t="s">
        <v>24</v>
      </c>
    </row>
    <row r="46" spans="1:19" x14ac:dyDescent="0.25">
      <c r="A46" s="10" t="s">
        <v>1318</v>
      </c>
      <c r="B46" s="10" t="s">
        <v>1319</v>
      </c>
      <c r="C46" s="10" t="s">
        <v>1283</v>
      </c>
      <c r="D46" s="11">
        <v>45691</v>
      </c>
      <c r="E46" s="12">
        <v>698000</v>
      </c>
      <c r="F46" s="10" t="s">
        <v>29</v>
      </c>
      <c r="G46" s="10" t="s">
        <v>23</v>
      </c>
      <c r="H46" s="12">
        <v>698000</v>
      </c>
      <c r="I46" s="12">
        <v>315310</v>
      </c>
      <c r="J46" s="13">
        <f t="shared" si="10"/>
        <v>45.173352435530084</v>
      </c>
      <c r="K46" s="12">
        <v>630616</v>
      </c>
      <c r="L46" s="12">
        <f>H46-495667</f>
        <v>202333</v>
      </c>
      <c r="M46" s="12">
        <v>134949</v>
      </c>
      <c r="N46" s="12">
        <f t="shared" si="11"/>
        <v>139600</v>
      </c>
      <c r="O46" s="14">
        <v>0.67400000000000004</v>
      </c>
      <c r="P46" s="12">
        <f t="shared" si="12"/>
        <v>300197.32937685458</v>
      </c>
      <c r="Q46" s="15">
        <f t="shared" si="13"/>
        <v>6.8915824007542374</v>
      </c>
      <c r="R46" s="15">
        <f t="shared" si="14"/>
        <v>4.5964432564108852</v>
      </c>
      <c r="S46" s="10" t="s">
        <v>24</v>
      </c>
    </row>
    <row r="47" spans="1:19" x14ac:dyDescent="0.25">
      <c r="A47" s="10" t="s">
        <v>1320</v>
      </c>
      <c r="B47" s="10" t="s">
        <v>1321</v>
      </c>
      <c r="C47" s="10" t="s">
        <v>1283</v>
      </c>
      <c r="D47" s="11">
        <v>45037</v>
      </c>
      <c r="E47" s="12">
        <v>650000</v>
      </c>
      <c r="F47" s="10" t="s">
        <v>29</v>
      </c>
      <c r="G47" s="10" t="s">
        <v>23</v>
      </c>
      <c r="H47" s="12">
        <v>650000</v>
      </c>
      <c r="I47" s="12">
        <v>317100</v>
      </c>
      <c r="J47" s="13">
        <f t="shared" si="10"/>
        <v>48.784615384615385</v>
      </c>
      <c r="K47" s="12">
        <v>634208</v>
      </c>
      <c r="L47" s="12">
        <f>H47-488217</f>
        <v>161783</v>
      </c>
      <c r="M47" s="12">
        <v>145991</v>
      </c>
      <c r="N47" s="12">
        <f t="shared" si="11"/>
        <v>130000</v>
      </c>
      <c r="O47" s="14">
        <v>0.95299999999999996</v>
      </c>
      <c r="P47" s="12">
        <f t="shared" si="12"/>
        <v>169761.80482686256</v>
      </c>
      <c r="Q47" s="15">
        <f t="shared" si="13"/>
        <v>3.8971947848223727</v>
      </c>
      <c r="R47" s="15">
        <f t="shared" si="14"/>
        <v>3.5167808968247773</v>
      </c>
      <c r="S47" s="10" t="s">
        <v>24</v>
      </c>
    </row>
    <row r="48" spans="1:19" x14ac:dyDescent="0.25">
      <c r="A48" s="10" t="s">
        <v>1322</v>
      </c>
      <c r="B48" s="10" t="s">
        <v>1323</v>
      </c>
      <c r="C48" s="10" t="s">
        <v>1283</v>
      </c>
      <c r="D48" s="11">
        <v>45198</v>
      </c>
      <c r="E48" s="12">
        <v>449000</v>
      </c>
      <c r="F48" s="10" t="s">
        <v>22</v>
      </c>
      <c r="G48" s="10" t="s">
        <v>23</v>
      </c>
      <c r="H48" s="12">
        <v>449000</v>
      </c>
      <c r="I48" s="12">
        <v>200790</v>
      </c>
      <c r="J48" s="13">
        <f t="shared" si="10"/>
        <v>44.719376391982188</v>
      </c>
      <c r="K48" s="12">
        <v>401576</v>
      </c>
      <c r="L48" s="12">
        <f>H48-271332</f>
        <v>177668</v>
      </c>
      <c r="M48" s="12">
        <v>130244</v>
      </c>
      <c r="N48" s="12">
        <f t="shared" si="11"/>
        <v>89800</v>
      </c>
      <c r="O48" s="14">
        <v>0.62</v>
      </c>
      <c r="P48" s="12">
        <f t="shared" si="12"/>
        <v>286561.29032258067</v>
      </c>
      <c r="Q48" s="15">
        <f t="shared" si="13"/>
        <v>6.5785420184247165</v>
      </c>
      <c r="R48" s="15">
        <f t="shared" si="14"/>
        <v>4.8225658342960394</v>
      </c>
      <c r="S48" s="10" t="s">
        <v>24</v>
      </c>
    </row>
    <row r="49" spans="1:19" x14ac:dyDescent="0.25">
      <c r="A49" s="10" t="s">
        <v>1324</v>
      </c>
      <c r="B49" s="10" t="s">
        <v>1325</v>
      </c>
      <c r="C49" s="10" t="s">
        <v>1283</v>
      </c>
      <c r="D49" s="11">
        <v>45517</v>
      </c>
      <c r="E49" s="12">
        <v>555000</v>
      </c>
      <c r="F49" s="10" t="s">
        <v>22</v>
      </c>
      <c r="G49" s="10" t="s">
        <v>23</v>
      </c>
      <c r="H49" s="12">
        <v>555000</v>
      </c>
      <c r="I49" s="12">
        <v>246460</v>
      </c>
      <c r="J49" s="13">
        <f t="shared" si="10"/>
        <v>44.407207207207207</v>
      </c>
      <c r="K49" s="12">
        <v>492921</v>
      </c>
      <c r="L49" s="12">
        <f>H49-386804</f>
        <v>168196</v>
      </c>
      <c r="M49" s="12">
        <v>106117</v>
      </c>
      <c r="N49" s="12">
        <f t="shared" si="11"/>
        <v>111000</v>
      </c>
      <c r="O49" s="14">
        <v>0.55800000000000005</v>
      </c>
      <c r="P49" s="12">
        <f t="shared" si="12"/>
        <v>301426.52329749102</v>
      </c>
      <c r="Q49" s="15">
        <f t="shared" si="13"/>
        <v>6.9198008103188942</v>
      </c>
      <c r="R49" s="15">
        <f t="shared" si="14"/>
        <v>4.3657905217044997</v>
      </c>
      <c r="S49" s="10" t="s">
        <v>24</v>
      </c>
    </row>
    <row r="50" spans="1:19" x14ac:dyDescent="0.25">
      <c r="A50" s="10" t="s">
        <v>1326</v>
      </c>
      <c r="B50" s="10" t="s">
        <v>1327</v>
      </c>
      <c r="C50" s="10" t="s">
        <v>1283</v>
      </c>
      <c r="D50" s="11">
        <v>45498</v>
      </c>
      <c r="E50" s="12">
        <v>300000</v>
      </c>
      <c r="F50" s="10" t="s">
        <v>22</v>
      </c>
      <c r="G50" s="10" t="s">
        <v>23</v>
      </c>
      <c r="H50" s="12">
        <v>300000</v>
      </c>
      <c r="I50" s="12">
        <v>183160</v>
      </c>
      <c r="J50" s="13">
        <f t="shared" si="10"/>
        <v>61.053333333333335</v>
      </c>
      <c r="K50" s="12">
        <v>366321</v>
      </c>
      <c r="L50" s="12">
        <f>H50-242523</f>
        <v>57477</v>
      </c>
      <c r="M50" s="12">
        <v>123798</v>
      </c>
      <c r="N50" s="12">
        <f t="shared" si="11"/>
        <v>60000</v>
      </c>
      <c r="O50" s="14">
        <v>0.54600000000000004</v>
      </c>
      <c r="P50" s="12">
        <f t="shared" si="12"/>
        <v>105269.23076923077</v>
      </c>
      <c r="Q50" s="15">
        <f t="shared" si="13"/>
        <v>2.4166490075580982</v>
      </c>
      <c r="R50" s="15">
        <f t="shared" si="14"/>
        <v>5.2051483869665685</v>
      </c>
      <c r="S50" s="10" t="s">
        <v>24</v>
      </c>
    </row>
    <row r="51" spans="1:19" x14ac:dyDescent="0.25">
      <c r="A51" s="10" t="s">
        <v>1328</v>
      </c>
      <c r="B51" s="10" t="s">
        <v>1329</v>
      </c>
      <c r="C51" s="10" t="s">
        <v>1283</v>
      </c>
      <c r="D51" s="11">
        <v>45611</v>
      </c>
      <c r="E51" s="12">
        <v>600000</v>
      </c>
      <c r="F51" s="10" t="s">
        <v>22</v>
      </c>
      <c r="G51" s="10" t="s">
        <v>23</v>
      </c>
      <c r="H51" s="12">
        <v>600000</v>
      </c>
      <c r="I51" s="12">
        <v>222440</v>
      </c>
      <c r="J51" s="13">
        <f t="shared" si="10"/>
        <v>37.073333333333338</v>
      </c>
      <c r="K51" s="12">
        <v>444887</v>
      </c>
      <c r="L51" s="12">
        <f>H51-321786</f>
        <v>278214</v>
      </c>
      <c r="M51" s="12">
        <v>123101</v>
      </c>
      <c r="N51" s="12">
        <f t="shared" si="11"/>
        <v>120000</v>
      </c>
      <c r="O51" s="14">
        <v>0.53800000000000003</v>
      </c>
      <c r="P51" s="12">
        <f t="shared" si="12"/>
        <v>517126.3940520446</v>
      </c>
      <c r="Q51" s="15">
        <f t="shared" si="13"/>
        <v>11.871588476860529</v>
      </c>
      <c r="R51" s="15">
        <f t="shared" si="14"/>
        <v>5.2528068792009313</v>
      </c>
      <c r="S51" s="10" t="s">
        <v>24</v>
      </c>
    </row>
    <row r="52" spans="1:19" x14ac:dyDescent="0.25">
      <c r="A52" s="10" t="s">
        <v>1330</v>
      </c>
      <c r="B52" s="10" t="s">
        <v>1331</v>
      </c>
      <c r="C52" s="10" t="s">
        <v>1283</v>
      </c>
      <c r="D52" s="11">
        <v>45019</v>
      </c>
      <c r="E52" s="12">
        <v>445000</v>
      </c>
      <c r="F52" s="10" t="s">
        <v>22</v>
      </c>
      <c r="G52" s="10" t="s">
        <v>23</v>
      </c>
      <c r="H52" s="12">
        <v>445000</v>
      </c>
      <c r="I52" s="12">
        <v>223580</v>
      </c>
      <c r="J52" s="13">
        <f t="shared" si="10"/>
        <v>50.242696629213476</v>
      </c>
      <c r="K52" s="12">
        <v>447159</v>
      </c>
      <c r="L52" s="12">
        <f>H52-340302</f>
        <v>104698</v>
      </c>
      <c r="M52" s="12">
        <v>106857</v>
      </c>
      <c r="N52" s="12">
        <f t="shared" si="11"/>
        <v>89000</v>
      </c>
      <c r="O52" s="14">
        <v>0.56799999999999995</v>
      </c>
      <c r="P52" s="12">
        <f t="shared" si="12"/>
        <v>184327.46478873241</v>
      </c>
      <c r="Q52" s="15">
        <f t="shared" si="13"/>
        <v>4.2315763266467492</v>
      </c>
      <c r="R52" s="15">
        <f t="shared" si="14"/>
        <v>4.3188365731579559</v>
      </c>
      <c r="S52" s="10" t="s">
        <v>24</v>
      </c>
    </row>
    <row r="53" spans="1:19" x14ac:dyDescent="0.25">
      <c r="A53" s="10" t="s">
        <v>1332</v>
      </c>
      <c r="B53" s="10" t="s">
        <v>1333</v>
      </c>
      <c r="C53" s="10" t="s">
        <v>1283</v>
      </c>
      <c r="D53" s="11">
        <v>45611</v>
      </c>
      <c r="E53" s="12">
        <v>565000</v>
      </c>
      <c r="F53" s="10" t="s">
        <v>22</v>
      </c>
      <c r="G53" s="10" t="s">
        <v>23</v>
      </c>
      <c r="H53" s="12">
        <v>565000</v>
      </c>
      <c r="I53" s="12">
        <v>208970</v>
      </c>
      <c r="J53" s="13">
        <f t="shared" si="10"/>
        <v>36.985840707964599</v>
      </c>
      <c r="K53" s="12">
        <v>417948</v>
      </c>
      <c r="L53" s="12">
        <f>H53-297113</f>
        <v>267887</v>
      </c>
      <c r="M53" s="12">
        <v>120835</v>
      </c>
      <c r="N53" s="12">
        <f t="shared" si="11"/>
        <v>113000</v>
      </c>
      <c r="O53" s="14">
        <v>0.51200000000000001</v>
      </c>
      <c r="P53" s="12">
        <f t="shared" si="12"/>
        <v>523216.796875</v>
      </c>
      <c r="Q53" s="15">
        <f t="shared" si="13"/>
        <v>12.011404886937557</v>
      </c>
      <c r="R53" s="15">
        <f t="shared" si="14"/>
        <v>5.4179490214646462</v>
      </c>
      <c r="S53" s="10" t="s">
        <v>24</v>
      </c>
    </row>
    <row r="54" spans="1:19" x14ac:dyDescent="0.25">
      <c r="A54" s="10" t="s">
        <v>1334</v>
      </c>
      <c r="B54" s="10" t="s">
        <v>1335</v>
      </c>
      <c r="C54" s="10" t="s">
        <v>1283</v>
      </c>
      <c r="D54" s="11">
        <v>45454</v>
      </c>
      <c r="E54" s="12">
        <v>649000</v>
      </c>
      <c r="F54" s="10" t="s">
        <v>22</v>
      </c>
      <c r="G54" s="10" t="s">
        <v>23</v>
      </c>
      <c r="H54" s="12">
        <v>649000</v>
      </c>
      <c r="I54" s="12">
        <v>227320</v>
      </c>
      <c r="J54" s="13">
        <f t="shared" si="10"/>
        <v>35.026194144838215</v>
      </c>
      <c r="K54" s="12">
        <v>454632</v>
      </c>
      <c r="L54" s="12">
        <f>H54-325085</f>
        <v>323915</v>
      </c>
      <c r="M54" s="12">
        <v>129547</v>
      </c>
      <c r="N54" s="12">
        <f t="shared" si="11"/>
        <v>129800</v>
      </c>
      <c r="O54" s="14">
        <v>0.61199999999999999</v>
      </c>
      <c r="P54" s="12">
        <f t="shared" si="12"/>
        <v>529272.87581699353</v>
      </c>
      <c r="Q54" s="15">
        <f t="shared" si="13"/>
        <v>12.150433329132083</v>
      </c>
      <c r="R54" s="15">
        <f t="shared" si="14"/>
        <v>4.8594606192645404</v>
      </c>
      <c r="S54" s="10" t="s">
        <v>24</v>
      </c>
    </row>
    <row r="55" spans="1:19" x14ac:dyDescent="0.25">
      <c r="A55" s="10" t="s">
        <v>1336</v>
      </c>
      <c r="B55" s="10" t="s">
        <v>1337</v>
      </c>
      <c r="C55" s="10" t="s">
        <v>1283</v>
      </c>
      <c r="D55" s="11">
        <v>45498</v>
      </c>
      <c r="E55" s="12">
        <v>425000</v>
      </c>
      <c r="F55" s="10" t="s">
        <v>22</v>
      </c>
      <c r="G55" s="10" t="s">
        <v>23</v>
      </c>
      <c r="H55" s="12">
        <v>425000</v>
      </c>
      <c r="I55" s="12">
        <v>175360</v>
      </c>
      <c r="J55" s="13">
        <f t="shared" si="10"/>
        <v>41.261176470588232</v>
      </c>
      <c r="K55" s="12">
        <v>350727</v>
      </c>
      <c r="L55" s="12">
        <f>H55-226842</f>
        <v>198158</v>
      </c>
      <c r="M55" s="12">
        <v>123885</v>
      </c>
      <c r="N55" s="12">
        <f t="shared" si="11"/>
        <v>85000</v>
      </c>
      <c r="O55" s="14">
        <v>0.54700000000000004</v>
      </c>
      <c r="P55" s="12">
        <f t="shared" si="12"/>
        <v>362263.25411334547</v>
      </c>
      <c r="Q55" s="15">
        <f t="shared" si="13"/>
        <v>8.3164199750538437</v>
      </c>
      <c r="R55" s="15">
        <f t="shared" si="14"/>
        <v>5.1992838472811878</v>
      </c>
      <c r="S55" s="10" t="s">
        <v>24</v>
      </c>
    </row>
    <row r="56" spans="1:19" x14ac:dyDescent="0.25">
      <c r="A56" s="10" t="s">
        <v>1338</v>
      </c>
      <c r="B56" s="10" t="s">
        <v>1339</v>
      </c>
      <c r="C56" s="10" t="s">
        <v>1283</v>
      </c>
      <c r="D56" s="11">
        <v>45079</v>
      </c>
      <c r="E56" s="12">
        <v>452000</v>
      </c>
      <c r="F56" s="10" t="s">
        <v>22</v>
      </c>
      <c r="G56" s="10" t="s">
        <v>23</v>
      </c>
      <c r="H56" s="12">
        <v>452000</v>
      </c>
      <c r="I56" s="12">
        <v>173700</v>
      </c>
      <c r="J56" s="13">
        <f t="shared" si="10"/>
        <v>38.429203539823007</v>
      </c>
      <c r="K56" s="12">
        <v>347402</v>
      </c>
      <c r="L56" s="12">
        <f>H56-243664</f>
        <v>208336</v>
      </c>
      <c r="M56" s="12">
        <v>103738</v>
      </c>
      <c r="N56" s="12">
        <f t="shared" si="11"/>
        <v>90400</v>
      </c>
      <c r="O56" s="14">
        <v>0.433</v>
      </c>
      <c r="P56" s="12">
        <f t="shared" si="12"/>
        <v>481145.49653579679</v>
      </c>
      <c r="Q56" s="15">
        <f t="shared" si="13"/>
        <v>11.045580728553645</v>
      </c>
      <c r="R56" s="15">
        <f t="shared" si="14"/>
        <v>5.4999925774647584</v>
      </c>
      <c r="S56" s="10" t="s">
        <v>24</v>
      </c>
    </row>
    <row r="57" spans="1:19" x14ac:dyDescent="0.25">
      <c r="A57" s="10" t="s">
        <v>1340</v>
      </c>
      <c r="B57" s="10" t="s">
        <v>1341</v>
      </c>
      <c r="C57" s="10" t="s">
        <v>1283</v>
      </c>
      <c r="D57" s="11">
        <v>45168</v>
      </c>
      <c r="E57" s="12">
        <v>450900</v>
      </c>
      <c r="F57" s="10" t="s">
        <v>22</v>
      </c>
      <c r="G57" s="10" t="s">
        <v>23</v>
      </c>
      <c r="H57" s="12">
        <v>450900</v>
      </c>
      <c r="I57" s="12">
        <v>161140</v>
      </c>
      <c r="J57" s="13">
        <f t="shared" si="10"/>
        <v>35.73741406076735</v>
      </c>
      <c r="K57" s="12">
        <v>322281</v>
      </c>
      <c r="L57" s="12">
        <f>H57-200669</f>
        <v>250231</v>
      </c>
      <c r="M57" s="12">
        <v>121612</v>
      </c>
      <c r="N57" s="12">
        <f t="shared" si="11"/>
        <v>90180</v>
      </c>
      <c r="O57" s="14">
        <v>0.81899999999999995</v>
      </c>
      <c r="P57" s="12">
        <f t="shared" si="12"/>
        <v>305532.35653235653</v>
      </c>
      <c r="Q57" s="15">
        <f t="shared" si="13"/>
        <v>7.0140577716335288</v>
      </c>
      <c r="R57" s="15">
        <f t="shared" si="14"/>
        <v>3.4088246209458335</v>
      </c>
      <c r="S57" s="10" t="s">
        <v>24</v>
      </c>
    </row>
    <row r="58" spans="1:19" x14ac:dyDescent="0.25">
      <c r="A58" s="10" t="s">
        <v>1342</v>
      </c>
      <c r="B58" s="10" t="s">
        <v>1343</v>
      </c>
      <c r="C58" s="10" t="s">
        <v>1283</v>
      </c>
      <c r="D58" s="11">
        <v>45042</v>
      </c>
      <c r="E58" s="12">
        <v>550000</v>
      </c>
      <c r="F58" s="10" t="s">
        <v>29</v>
      </c>
      <c r="G58" s="10" t="s">
        <v>23</v>
      </c>
      <c r="H58" s="12">
        <v>550000</v>
      </c>
      <c r="I58" s="12">
        <v>227200</v>
      </c>
      <c r="J58" s="13">
        <f t="shared" si="10"/>
        <v>41.309090909090905</v>
      </c>
      <c r="K58" s="12">
        <v>454406</v>
      </c>
      <c r="L58" s="12">
        <f>H58-321896</f>
        <v>228104</v>
      </c>
      <c r="M58" s="12">
        <v>132510</v>
      </c>
      <c r="N58" s="12">
        <f t="shared" si="11"/>
        <v>110000</v>
      </c>
      <c r="O58" s="14">
        <v>0.64600000000000002</v>
      </c>
      <c r="P58" s="12">
        <f t="shared" si="12"/>
        <v>353102.16718266252</v>
      </c>
      <c r="Q58" s="15">
        <f t="shared" si="13"/>
        <v>8.1061103577287081</v>
      </c>
      <c r="R58" s="15">
        <f t="shared" si="14"/>
        <v>4.7089953858881524</v>
      </c>
      <c r="S58" s="10" t="s">
        <v>24</v>
      </c>
    </row>
    <row r="59" spans="1:19" ht="15.75" thickBot="1" x14ac:dyDescent="0.3">
      <c r="A59" s="16"/>
      <c r="B59" s="16"/>
      <c r="C59" s="16"/>
      <c r="D59" s="17"/>
      <c r="E59" s="18"/>
      <c r="F59" s="16"/>
      <c r="G59" s="16"/>
      <c r="H59" s="18"/>
      <c r="I59" s="18"/>
      <c r="J59" s="19"/>
      <c r="K59" s="18"/>
      <c r="L59" s="18">
        <f>AVERAGE(L27:L58)</f>
        <v>195033.59375</v>
      </c>
      <c r="M59" s="18">
        <f>AVERAGE(M27:M58)</f>
        <v>117516.46875</v>
      </c>
      <c r="N59" s="18">
        <f>AVERAGE(N27:N58)</f>
        <v>117876.41875</v>
      </c>
      <c r="O59" s="20"/>
      <c r="P59" s="18"/>
      <c r="Q59" s="21">
        <f>AVERAGE(Q27:Q58)</f>
        <v>8.2849784010666543</v>
      </c>
      <c r="R59" s="21">
        <f>AVERAGE(R27:R58)</f>
        <v>4.9481922103068205</v>
      </c>
      <c r="S59" s="16"/>
    </row>
    <row r="60" spans="1:19" ht="15.75" thickTop="1" x14ac:dyDescent="0.25">
      <c r="A60" s="10"/>
      <c r="B60" s="10"/>
      <c r="C60" s="10"/>
      <c r="D60" s="11"/>
      <c r="E60" s="12"/>
      <c r="F60" s="10"/>
      <c r="G60" s="10"/>
      <c r="H60" s="12"/>
      <c r="I60" s="12"/>
      <c r="J60" s="13"/>
      <c r="K60" s="12"/>
      <c r="L60" s="12"/>
      <c r="M60" s="12"/>
      <c r="N60" s="12"/>
      <c r="O60" s="14"/>
      <c r="P60" s="12"/>
      <c r="Q60" s="15"/>
      <c r="R60" s="15"/>
      <c r="S60" s="10"/>
    </row>
    <row r="61" spans="1:19" x14ac:dyDescent="0.25">
      <c r="A61" s="10"/>
      <c r="B61" s="10"/>
      <c r="C61" s="10"/>
      <c r="D61" s="11"/>
      <c r="E61" s="12"/>
      <c r="F61" s="10"/>
      <c r="G61" s="10"/>
      <c r="H61" s="12"/>
      <c r="I61" s="12"/>
      <c r="J61" s="13"/>
      <c r="K61" s="12"/>
      <c r="L61" s="12"/>
      <c r="M61" s="12"/>
      <c r="N61" s="12"/>
      <c r="O61" s="14"/>
      <c r="P61" s="12"/>
      <c r="Q61" s="15"/>
      <c r="R61" s="15"/>
      <c r="S61" s="10"/>
    </row>
    <row r="62" spans="1:19" x14ac:dyDescent="0.25">
      <c r="A62" s="10" t="s">
        <v>1344</v>
      </c>
      <c r="B62" s="10" t="s">
        <v>1345</v>
      </c>
      <c r="C62" s="10" t="s">
        <v>1346</v>
      </c>
      <c r="D62" s="11">
        <v>45687</v>
      </c>
      <c r="E62" s="12">
        <v>620000</v>
      </c>
      <c r="F62" s="10" t="s">
        <v>22</v>
      </c>
      <c r="G62" s="10" t="s">
        <v>23</v>
      </c>
      <c r="H62" s="12">
        <v>620000</v>
      </c>
      <c r="I62" s="12">
        <v>252050</v>
      </c>
      <c r="J62" s="13">
        <f>I62/H62*100</f>
        <v>40.653225806451616</v>
      </c>
      <c r="K62" s="12">
        <v>504096</v>
      </c>
      <c r="L62" s="12">
        <f>H62-375333</f>
        <v>244667</v>
      </c>
      <c r="M62" s="12">
        <v>128763</v>
      </c>
      <c r="N62" s="12">
        <f>E62*0.2</f>
        <v>124000</v>
      </c>
      <c r="O62" s="14">
        <v>0.60299999999999998</v>
      </c>
      <c r="P62" s="12">
        <f>L62/O62</f>
        <v>405749.58540630183</v>
      </c>
      <c r="Q62" s="15">
        <f>L62/O62/43560</f>
        <v>9.3147287742493532</v>
      </c>
      <c r="R62" s="15">
        <f>M62/O62/43560</f>
        <v>4.9021421816537147</v>
      </c>
      <c r="S62" s="10" t="s">
        <v>24</v>
      </c>
    </row>
    <row r="63" spans="1:19" x14ac:dyDescent="0.25">
      <c r="A63" s="10" t="s">
        <v>1347</v>
      </c>
      <c r="B63" s="10" t="s">
        <v>1348</v>
      </c>
      <c r="C63" s="10" t="s">
        <v>1346</v>
      </c>
      <c r="D63" s="11">
        <v>45142</v>
      </c>
      <c r="E63" s="12">
        <v>1950000</v>
      </c>
      <c r="F63" s="10" t="s">
        <v>22</v>
      </c>
      <c r="G63" s="10" t="s">
        <v>23</v>
      </c>
      <c r="H63" s="12">
        <v>1950000</v>
      </c>
      <c r="I63" s="12">
        <v>765560</v>
      </c>
      <c r="J63" s="13">
        <f>I63/H63*100</f>
        <v>39.259487179487181</v>
      </c>
      <c r="K63" s="12">
        <v>1531110</v>
      </c>
      <c r="L63" s="12">
        <f>H63-1393286</f>
        <v>556714</v>
      </c>
      <c r="M63" s="12">
        <v>137824</v>
      </c>
      <c r="N63" s="12">
        <f>E63*0.2</f>
        <v>390000</v>
      </c>
      <c r="O63" s="14">
        <v>0.70699999999999996</v>
      </c>
      <c r="P63" s="12">
        <f>L63/O63</f>
        <v>787431.40028288553</v>
      </c>
      <c r="Q63" s="15">
        <f>L63/O63/43560</f>
        <v>18.076937563886261</v>
      </c>
      <c r="R63" s="15">
        <f>M63/O63/43560</f>
        <v>4.4752527200772025</v>
      </c>
      <c r="S63" s="10" t="s">
        <v>24</v>
      </c>
    </row>
    <row r="64" spans="1:19" x14ac:dyDescent="0.25">
      <c r="A64" s="10" t="s">
        <v>1349</v>
      </c>
      <c r="B64" s="10" t="s">
        <v>1350</v>
      </c>
      <c r="C64" s="10" t="s">
        <v>1346</v>
      </c>
      <c r="D64" s="11">
        <v>45425</v>
      </c>
      <c r="E64" s="12">
        <v>720000</v>
      </c>
      <c r="F64" s="10" t="s">
        <v>29</v>
      </c>
      <c r="G64" s="10" t="s">
        <v>23</v>
      </c>
      <c r="H64" s="12">
        <v>720000</v>
      </c>
      <c r="I64" s="12">
        <v>373170</v>
      </c>
      <c r="J64" s="13">
        <f>I64/H64*100</f>
        <v>51.829166666666673</v>
      </c>
      <c r="K64" s="12">
        <v>746347</v>
      </c>
      <c r="L64" s="12">
        <f>H64-620737</f>
        <v>99263</v>
      </c>
      <c r="M64" s="12">
        <v>125610</v>
      </c>
      <c r="N64" s="12">
        <f>E64*0.2</f>
        <v>144000</v>
      </c>
      <c r="O64" s="14">
        <v>0.72699999999999998</v>
      </c>
      <c r="P64" s="12">
        <f>L64/O64</f>
        <v>136537.82668500688</v>
      </c>
      <c r="Q64" s="15">
        <f>L64/O64/43560</f>
        <v>3.1344771966255021</v>
      </c>
      <c r="R64" s="15">
        <f>M64/O64/43560</f>
        <v>3.9664495397895423</v>
      </c>
      <c r="S64" s="10" t="s">
        <v>24</v>
      </c>
    </row>
    <row r="65" spans="1:19" x14ac:dyDescent="0.25">
      <c r="A65" s="10" t="s">
        <v>1349</v>
      </c>
      <c r="B65" s="10" t="s">
        <v>1350</v>
      </c>
      <c r="C65" s="10" t="s">
        <v>1346</v>
      </c>
      <c r="D65" s="11">
        <v>45671</v>
      </c>
      <c r="E65" s="12">
        <v>1300000</v>
      </c>
      <c r="F65" s="10" t="s">
        <v>22</v>
      </c>
      <c r="G65" s="10" t="s">
        <v>23</v>
      </c>
      <c r="H65" s="12">
        <v>1300000</v>
      </c>
      <c r="I65" s="12">
        <v>410070</v>
      </c>
      <c r="J65" s="13">
        <f>I65/H65*100</f>
        <v>31.543846153846154</v>
      </c>
      <c r="K65" s="12">
        <v>820141</v>
      </c>
      <c r="L65" s="12">
        <f>H65-694531</f>
        <v>605469</v>
      </c>
      <c r="M65" s="12">
        <v>125610</v>
      </c>
      <c r="N65" s="12">
        <f>E65*0.2</f>
        <v>260000</v>
      </c>
      <c r="O65" s="14">
        <v>0.72699999999999998</v>
      </c>
      <c r="P65" s="12">
        <f>L65/O65</f>
        <v>832832.18707015133</v>
      </c>
      <c r="Q65" s="15">
        <f>L65/O65/43560</f>
        <v>19.119196213731666</v>
      </c>
      <c r="R65" s="15">
        <f>M65/O65/43560</f>
        <v>3.9664495397895423</v>
      </c>
      <c r="S65" s="10" t="s">
        <v>24</v>
      </c>
    </row>
    <row r="66" spans="1:19" ht="15.75" thickBot="1" x14ac:dyDescent="0.3">
      <c r="A66" s="16"/>
      <c r="B66" s="16"/>
      <c r="C66" s="16"/>
      <c r="D66" s="17"/>
      <c r="E66" s="18"/>
      <c r="F66" s="16"/>
      <c r="G66" s="16"/>
      <c r="H66" s="18"/>
      <c r="I66" s="18"/>
      <c r="J66" s="19"/>
      <c r="K66" s="18"/>
      <c r="L66" s="18">
        <f>AVERAGE(L62:L65)</f>
        <v>376528.25</v>
      </c>
      <c r="M66" s="18">
        <f>AVERAGE(M62:M65)</f>
        <v>129451.75</v>
      </c>
      <c r="N66" s="18">
        <f>AVERAGE(N62:N65)</f>
        <v>229500</v>
      </c>
      <c r="O66" s="20"/>
      <c r="P66" s="18"/>
      <c r="Q66" s="21">
        <f>AVERAGE(Q62:Q65)</f>
        <v>12.411334937123197</v>
      </c>
      <c r="R66" s="21">
        <f>AVERAGE(R62:R65)</f>
        <v>4.3275734953275</v>
      </c>
      <c r="S66" s="16"/>
    </row>
    <row r="67" spans="1:19" ht="15.75" thickTop="1" x14ac:dyDescent="0.25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A633D-87C0-4248-8CED-8B0492528A06}">
  <dimension ref="A1:S104"/>
  <sheetViews>
    <sheetView topLeftCell="A7" workbookViewId="0">
      <selection activeCell="A100" sqref="A100:XFD103"/>
    </sheetView>
  </sheetViews>
  <sheetFormatPr defaultRowHeight="15" x14ac:dyDescent="0.25"/>
  <cols>
    <col min="1" max="1" width="12.42578125" bestFit="1" customWidth="1"/>
    <col min="2" max="2" width="21" bestFit="1" customWidth="1"/>
    <col min="3" max="3" width="12.5703125" bestFit="1" customWidth="1"/>
    <col min="7" max="7" width="13.140625" bestFit="1" customWidth="1"/>
    <col min="13" max="13" width="10.8554687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180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1351</v>
      </c>
      <c r="B2" s="10" t="s">
        <v>1352</v>
      </c>
      <c r="C2" s="10" t="s">
        <v>1353</v>
      </c>
      <c r="D2" s="11">
        <v>45196</v>
      </c>
      <c r="E2" s="12">
        <v>350000</v>
      </c>
      <c r="F2" s="10" t="s">
        <v>29</v>
      </c>
      <c r="G2" s="10" t="s">
        <v>23</v>
      </c>
      <c r="H2" s="12">
        <v>350000</v>
      </c>
      <c r="I2" s="12">
        <v>0</v>
      </c>
      <c r="J2" s="13">
        <f>I2/H2*100</f>
        <v>0</v>
      </c>
      <c r="K2" s="12">
        <v>288157</v>
      </c>
      <c r="L2" s="12">
        <f>H2-149662</f>
        <v>200338</v>
      </c>
      <c r="M2" s="12">
        <v>138495</v>
      </c>
      <c r="N2" s="12">
        <f>E2*0.2</f>
        <v>70000</v>
      </c>
      <c r="O2" s="14">
        <v>1.0349999999999999</v>
      </c>
      <c r="P2" s="12">
        <f>L2/O2</f>
        <v>193563.28502415461</v>
      </c>
      <c r="Q2" s="15">
        <f>L2/O2/43560</f>
        <v>4.4436015845765517</v>
      </c>
      <c r="R2" s="15">
        <f>M2/O2/43560</f>
        <v>3.0718915106266889</v>
      </c>
      <c r="S2" s="10" t="s">
        <v>24</v>
      </c>
    </row>
    <row r="3" spans="1:19" x14ac:dyDescent="0.25">
      <c r="A3" s="10" t="s">
        <v>1354</v>
      </c>
      <c r="B3" s="10" t="s">
        <v>1355</v>
      </c>
      <c r="C3" s="10" t="s">
        <v>1353</v>
      </c>
      <c r="D3" s="11">
        <v>45406</v>
      </c>
      <c r="E3" s="12">
        <v>880000</v>
      </c>
      <c r="F3" s="10" t="s">
        <v>29</v>
      </c>
      <c r="G3" s="10" t="s">
        <v>23</v>
      </c>
      <c r="H3" s="12">
        <v>880000</v>
      </c>
      <c r="I3" s="12">
        <v>238090</v>
      </c>
      <c r="J3" s="13">
        <f>I3/H3*100</f>
        <v>27.055681818181821</v>
      </c>
      <c r="K3" s="12">
        <v>511111</v>
      </c>
      <c r="L3" s="12">
        <f>H3-344855</f>
        <v>535145</v>
      </c>
      <c r="M3" s="12">
        <v>166256</v>
      </c>
      <c r="N3" s="12">
        <f>E3*0.2</f>
        <v>176000</v>
      </c>
      <c r="O3" s="14">
        <v>0.78400000000000003</v>
      </c>
      <c r="P3" s="12">
        <f>L3/O3</f>
        <v>682582.90816326533</v>
      </c>
      <c r="Q3" s="15">
        <f>L3/O3/43560</f>
        <v>15.669947386668166</v>
      </c>
      <c r="R3" s="15">
        <f>M3/O3/43560</f>
        <v>4.8682558422818163</v>
      </c>
      <c r="S3" s="10" t="s">
        <v>24</v>
      </c>
    </row>
    <row r="4" spans="1:19" x14ac:dyDescent="0.25">
      <c r="A4" s="10" t="s">
        <v>1356</v>
      </c>
      <c r="B4" s="10" t="s">
        <v>1357</v>
      </c>
      <c r="C4" s="10" t="s">
        <v>1353</v>
      </c>
      <c r="D4" s="11">
        <v>45608</v>
      </c>
      <c r="E4" s="12">
        <v>1900000</v>
      </c>
      <c r="F4" s="10" t="s">
        <v>22</v>
      </c>
      <c r="G4" s="10" t="s">
        <v>23</v>
      </c>
      <c r="H4" s="12">
        <v>1900000</v>
      </c>
      <c r="I4" s="12">
        <v>992960</v>
      </c>
      <c r="J4" s="13">
        <f>I4/H4*100</f>
        <v>52.261052631578956</v>
      </c>
      <c r="K4" s="12">
        <v>1985914</v>
      </c>
      <c r="L4" s="12">
        <f>H4-1535199</f>
        <v>364801</v>
      </c>
      <c r="M4" s="12">
        <v>450715</v>
      </c>
      <c r="N4" s="12">
        <f>E4*0.2</f>
        <v>380000</v>
      </c>
      <c r="O4" s="14">
        <v>4.1479999999999997</v>
      </c>
      <c r="P4" s="12">
        <f>L4/O4</f>
        <v>87946.239151398273</v>
      </c>
      <c r="Q4" s="15">
        <f>L4/O4/43560</f>
        <v>2.0189678409411909</v>
      </c>
      <c r="R4" s="15">
        <f>M4/O4/43560</f>
        <v>2.4944533880932585</v>
      </c>
      <c r="S4" s="10" t="s">
        <v>24</v>
      </c>
    </row>
    <row r="5" spans="1:19" x14ac:dyDescent="0.25">
      <c r="A5" s="10" t="s">
        <v>1358</v>
      </c>
      <c r="B5" s="10" t="s">
        <v>1359</v>
      </c>
      <c r="C5" s="10" t="s">
        <v>1353</v>
      </c>
      <c r="D5" s="11">
        <v>45407</v>
      </c>
      <c r="E5" s="12">
        <v>800000</v>
      </c>
      <c r="F5" s="10" t="s">
        <v>29</v>
      </c>
      <c r="G5" s="10" t="s">
        <v>23</v>
      </c>
      <c r="H5" s="12">
        <v>800000</v>
      </c>
      <c r="I5" s="12">
        <v>438870</v>
      </c>
      <c r="J5" s="13">
        <f>I5/H5*100</f>
        <v>54.858750000000001</v>
      </c>
      <c r="K5" s="12">
        <v>873429</v>
      </c>
      <c r="L5" s="12">
        <f>H5-657493</f>
        <v>142507</v>
      </c>
      <c r="M5" s="12">
        <v>215936</v>
      </c>
      <c r="N5" s="12">
        <f>E5*0.2</f>
        <v>160000</v>
      </c>
      <c r="O5" s="14">
        <v>1.381</v>
      </c>
      <c r="P5" s="12">
        <f>L5/O5</f>
        <v>103191.16582186821</v>
      </c>
      <c r="Q5" s="15">
        <f>L5/O5/43560</f>
        <v>2.3689432006856799</v>
      </c>
      <c r="R5" s="15">
        <f>M5/O5/43560</f>
        <v>3.5895788907440545</v>
      </c>
      <c r="S5" s="10" t="s">
        <v>24</v>
      </c>
    </row>
    <row r="6" spans="1:19" ht="15.75" thickBot="1" x14ac:dyDescent="0.3">
      <c r="A6" s="16"/>
      <c r="B6" s="16"/>
      <c r="C6" s="16"/>
      <c r="D6" s="17"/>
      <c r="E6" s="18"/>
      <c r="F6" s="16"/>
      <c r="G6" s="16"/>
      <c r="H6" s="18"/>
      <c r="I6" s="18"/>
      <c r="J6" s="19"/>
      <c r="K6" s="18"/>
      <c r="L6" s="18">
        <f>AVERAGE(L2:L5)</f>
        <v>310697.75</v>
      </c>
      <c r="M6" s="18">
        <f>AVERAGE(M2:M5)</f>
        <v>242850.5</v>
      </c>
      <c r="N6" s="18">
        <f>AVERAGE(N2:N5)</f>
        <v>196500</v>
      </c>
      <c r="O6" s="20"/>
      <c r="P6" s="18"/>
      <c r="Q6" s="21">
        <f>AVERAGE(Q2:Q5)</f>
        <v>6.1253650032178975</v>
      </c>
      <c r="R6" s="21">
        <f>AVERAGE(R2:R5)</f>
        <v>3.5060449079364546</v>
      </c>
      <c r="S6" s="16"/>
    </row>
    <row r="7" spans="1:19" ht="15.75" thickTop="1" x14ac:dyDescent="0.25">
      <c r="A7" s="10"/>
      <c r="B7" s="10"/>
      <c r="C7" s="10"/>
      <c r="D7" s="11"/>
      <c r="E7" s="12"/>
      <c r="F7" s="10"/>
      <c r="G7" s="10"/>
      <c r="H7" s="12"/>
      <c r="I7" s="12"/>
      <c r="J7" s="13"/>
      <c r="K7" s="12"/>
      <c r="L7" s="12"/>
      <c r="M7" s="12"/>
      <c r="N7" s="12"/>
      <c r="O7" s="14"/>
      <c r="P7" s="12"/>
      <c r="Q7" s="15"/>
      <c r="R7" s="15"/>
      <c r="S7" s="10"/>
    </row>
    <row r="8" spans="1:19" x14ac:dyDescent="0.25">
      <c r="A8" s="10"/>
      <c r="B8" s="10"/>
      <c r="C8" s="10"/>
      <c r="D8" s="11"/>
      <c r="E8" s="12"/>
      <c r="F8" s="10"/>
      <c r="G8" s="10"/>
      <c r="H8" s="12"/>
      <c r="I8" s="12"/>
      <c r="J8" s="13"/>
      <c r="K8" s="12"/>
      <c r="L8" s="12"/>
      <c r="M8" s="12"/>
      <c r="N8" s="12"/>
      <c r="O8" s="14"/>
      <c r="P8" s="12"/>
      <c r="Q8" s="15"/>
      <c r="R8" s="15"/>
      <c r="S8" s="10"/>
    </row>
    <row r="9" spans="1:19" x14ac:dyDescent="0.25">
      <c r="A9" s="10" t="s">
        <v>1360</v>
      </c>
      <c r="B9" s="10" t="s">
        <v>1361</v>
      </c>
      <c r="C9" s="10" t="s">
        <v>1362</v>
      </c>
      <c r="D9" s="11">
        <v>45387</v>
      </c>
      <c r="E9" s="12">
        <v>374000</v>
      </c>
      <c r="F9" s="10" t="s">
        <v>29</v>
      </c>
      <c r="G9" s="10" t="s">
        <v>23</v>
      </c>
      <c r="H9" s="12">
        <v>374000</v>
      </c>
      <c r="I9" s="12">
        <v>142840</v>
      </c>
      <c r="J9" s="13">
        <f>I9/H9*100</f>
        <v>38.192513368983953</v>
      </c>
      <c r="K9" s="12">
        <v>285673</v>
      </c>
      <c r="L9" s="12">
        <f>H9-175532</f>
        <v>198468</v>
      </c>
      <c r="M9" s="12">
        <v>110141</v>
      </c>
      <c r="N9" s="12">
        <f>E9*0.2</f>
        <v>74800</v>
      </c>
      <c r="O9" s="14">
        <v>0.53800000000000003</v>
      </c>
      <c r="P9" s="12">
        <f>L9/O9</f>
        <v>368899.6282527881</v>
      </c>
      <c r="Q9" s="15">
        <f>L9/O9/43560</f>
        <v>8.4687701619097364</v>
      </c>
      <c r="R9" s="15">
        <f>M9/O9/43560</f>
        <v>4.6997944978681714</v>
      </c>
      <c r="S9" s="10" t="s">
        <v>24</v>
      </c>
    </row>
    <row r="10" spans="1:19" x14ac:dyDescent="0.25">
      <c r="A10" s="10" t="s">
        <v>1363</v>
      </c>
      <c r="B10" s="10" t="s">
        <v>1364</v>
      </c>
      <c r="C10" s="10" t="s">
        <v>1362</v>
      </c>
      <c r="D10" s="11">
        <v>45155</v>
      </c>
      <c r="E10" s="12">
        <v>495000</v>
      </c>
      <c r="F10" s="10" t="s">
        <v>22</v>
      </c>
      <c r="G10" s="10" t="s">
        <v>23</v>
      </c>
      <c r="H10" s="12">
        <v>495000</v>
      </c>
      <c r="I10" s="12">
        <v>227390</v>
      </c>
      <c r="J10" s="13">
        <f>I10/H10*100</f>
        <v>45.93737373737374</v>
      </c>
      <c r="K10" s="12">
        <v>454785</v>
      </c>
      <c r="L10" s="12">
        <f>H10-335583</f>
        <v>159417</v>
      </c>
      <c r="M10" s="12">
        <v>119202</v>
      </c>
      <c r="N10" s="12">
        <f>E10*0.2</f>
        <v>99000</v>
      </c>
      <c r="O10" s="14">
        <v>0.84799999999999998</v>
      </c>
      <c r="P10" s="12">
        <f>L10/O10</f>
        <v>187991.74528301888</v>
      </c>
      <c r="Q10" s="15">
        <f>L10/O10/43560</f>
        <v>4.3156966318415719</v>
      </c>
      <c r="R10" s="15">
        <f>M10/O10/43560</f>
        <v>3.2270063412859296</v>
      </c>
      <c r="S10" s="10" t="s">
        <v>24</v>
      </c>
    </row>
    <row r="11" spans="1:19" x14ac:dyDescent="0.25">
      <c r="A11" s="10" t="s">
        <v>1365</v>
      </c>
      <c r="B11" s="10" t="s">
        <v>1366</v>
      </c>
      <c r="C11" s="10" t="s">
        <v>1362</v>
      </c>
      <c r="D11" s="11">
        <v>45719</v>
      </c>
      <c r="E11" s="12">
        <v>545000</v>
      </c>
      <c r="F11" s="10" t="s">
        <v>29</v>
      </c>
      <c r="G11" s="10" t="s">
        <v>23</v>
      </c>
      <c r="H11" s="12">
        <v>545000</v>
      </c>
      <c r="I11" s="12">
        <v>191180</v>
      </c>
      <c r="J11" s="13">
        <f>I11/H11*100</f>
        <v>35.07889908256881</v>
      </c>
      <c r="K11" s="12">
        <v>382362</v>
      </c>
      <c r="L11" s="12">
        <f>H11-245279</f>
        <v>299721</v>
      </c>
      <c r="M11" s="12">
        <v>137083</v>
      </c>
      <c r="N11" s="12">
        <f>E11*0.2</f>
        <v>109000</v>
      </c>
      <c r="O11" s="14">
        <v>1.669</v>
      </c>
      <c r="P11" s="12">
        <f>L11/O11</f>
        <v>179581.18633912521</v>
      </c>
      <c r="Q11" s="15">
        <f>L11/O11/43560</f>
        <v>4.1226167662792745</v>
      </c>
      <c r="R11" s="15">
        <f>M11/O11/43560</f>
        <v>1.8855558141466957</v>
      </c>
      <c r="S11" s="10" t="s">
        <v>24</v>
      </c>
    </row>
    <row r="12" spans="1:19" ht="15.75" thickBot="1" x14ac:dyDescent="0.3">
      <c r="A12" s="16"/>
      <c r="B12" s="16"/>
      <c r="C12" s="16"/>
      <c r="D12" s="17"/>
      <c r="E12" s="18"/>
      <c r="F12" s="16"/>
      <c r="G12" s="16"/>
      <c r="H12" s="18"/>
      <c r="I12" s="18"/>
      <c r="J12" s="19"/>
      <c r="K12" s="18"/>
      <c r="L12" s="18">
        <f>AVERAGE(L9:L11)</f>
        <v>219202</v>
      </c>
      <c r="M12" s="18">
        <f>AVERAGE(M9:M11)</f>
        <v>122142</v>
      </c>
      <c r="N12" s="18">
        <f>AVERAGE(N9:N11)</f>
        <v>94266.666666666672</v>
      </c>
      <c r="O12" s="20"/>
      <c r="P12" s="18"/>
      <c r="Q12" s="21">
        <f>AVERAGE(Q9:Q11)</f>
        <v>5.635694520010194</v>
      </c>
      <c r="R12" s="21">
        <f>AVERAGE(R9:R11)</f>
        <v>3.2707855511002655</v>
      </c>
      <c r="S12" s="16"/>
    </row>
    <row r="13" spans="1:19" ht="15.75" thickTop="1" x14ac:dyDescent="0.25">
      <c r="A13" s="10"/>
      <c r="B13" s="10"/>
      <c r="C13" s="10"/>
      <c r="D13" s="11"/>
      <c r="E13" s="12"/>
      <c r="F13" s="10"/>
      <c r="G13" s="10"/>
      <c r="H13" s="12"/>
      <c r="I13" s="12"/>
      <c r="J13" s="13"/>
      <c r="K13" s="12"/>
      <c r="L13" s="12"/>
      <c r="M13" s="12"/>
      <c r="N13" s="12"/>
      <c r="O13" s="14"/>
      <c r="P13" s="12"/>
      <c r="Q13" s="15"/>
      <c r="R13" s="15"/>
      <c r="S13" s="10"/>
    </row>
    <row r="14" spans="1:19" x14ac:dyDescent="0.25">
      <c r="A14" s="10"/>
      <c r="B14" s="10"/>
      <c r="C14" s="10"/>
      <c r="D14" s="11"/>
      <c r="E14" s="12"/>
      <c r="F14" s="10"/>
      <c r="G14" s="10"/>
      <c r="H14" s="12"/>
      <c r="I14" s="12"/>
      <c r="J14" s="13"/>
      <c r="K14" s="12"/>
      <c r="L14" s="12"/>
      <c r="M14" s="12"/>
      <c r="N14" s="12"/>
      <c r="O14" s="14"/>
      <c r="P14" s="12"/>
      <c r="Q14" s="15"/>
      <c r="R14" s="15"/>
      <c r="S14" s="10"/>
    </row>
    <row r="15" spans="1:19" x14ac:dyDescent="0.25">
      <c r="A15" s="10" t="s">
        <v>1367</v>
      </c>
      <c r="B15" s="10" t="s">
        <v>1368</v>
      </c>
      <c r="C15" s="10" t="s">
        <v>1369</v>
      </c>
      <c r="D15" s="11">
        <v>45047</v>
      </c>
      <c r="E15" s="12">
        <v>625000</v>
      </c>
      <c r="F15" s="10" t="s">
        <v>22</v>
      </c>
      <c r="G15" s="10" t="s">
        <v>23</v>
      </c>
      <c r="H15" s="12">
        <v>625000</v>
      </c>
      <c r="I15" s="12">
        <v>337540</v>
      </c>
      <c r="J15" s="13">
        <f>I15/H15*100</f>
        <v>54.006399999999999</v>
      </c>
      <c r="K15" s="12">
        <v>675087</v>
      </c>
      <c r="L15" s="12">
        <f>H15-459996</f>
        <v>165004</v>
      </c>
      <c r="M15" s="12">
        <v>215091</v>
      </c>
      <c r="N15" s="12">
        <f>E15*0.2</f>
        <v>125000</v>
      </c>
      <c r="O15" s="14">
        <v>0.88600000000000001</v>
      </c>
      <c r="P15" s="12">
        <f>L15/O15</f>
        <v>186234.76297968396</v>
      </c>
      <c r="Q15" s="15">
        <f>L15/O15/43560</f>
        <v>4.275361868220477</v>
      </c>
      <c r="R15" s="15">
        <f>M15/O15/43560</f>
        <v>5.5731488909202849</v>
      </c>
      <c r="S15" s="10" t="s">
        <v>24</v>
      </c>
    </row>
    <row r="16" spans="1:19" x14ac:dyDescent="0.25">
      <c r="A16" s="10" t="s">
        <v>1370</v>
      </c>
      <c r="B16" s="10" t="s">
        <v>1371</v>
      </c>
      <c r="C16" s="10" t="s">
        <v>1369</v>
      </c>
      <c r="D16" s="11">
        <v>45086</v>
      </c>
      <c r="E16" s="12">
        <v>910000</v>
      </c>
      <c r="F16" s="10" t="s">
        <v>29</v>
      </c>
      <c r="G16" s="10" t="s">
        <v>23</v>
      </c>
      <c r="H16" s="12">
        <v>910000</v>
      </c>
      <c r="I16" s="12">
        <v>487350</v>
      </c>
      <c r="J16" s="13">
        <f>I16/H16*100</f>
        <v>53.554945054945058</v>
      </c>
      <c r="K16" s="12">
        <v>974705</v>
      </c>
      <c r="L16" s="12">
        <f>H16-757110</f>
        <v>152890</v>
      </c>
      <c r="M16" s="12">
        <v>217595</v>
      </c>
      <c r="N16" s="12">
        <f>E16*0.2</f>
        <v>182000</v>
      </c>
      <c r="O16" s="14">
        <v>0.91100000000000003</v>
      </c>
      <c r="P16" s="12">
        <f>L16/O16</f>
        <v>167826.56421514819</v>
      </c>
      <c r="Q16" s="15">
        <f>L16/O16/43560</f>
        <v>3.8527677735341639</v>
      </c>
      <c r="R16" s="15">
        <f>M16/O16/43560</f>
        <v>5.48330828492489</v>
      </c>
      <c r="S16" s="10" t="s">
        <v>24</v>
      </c>
    </row>
    <row r="17" spans="1:19" x14ac:dyDescent="0.25">
      <c r="A17" s="10" t="s">
        <v>1372</v>
      </c>
      <c r="B17" s="10" t="s">
        <v>1373</v>
      </c>
      <c r="C17" s="10" t="s">
        <v>1369</v>
      </c>
      <c r="D17" s="11">
        <v>45139</v>
      </c>
      <c r="E17" s="12">
        <v>833762</v>
      </c>
      <c r="F17" s="10" t="s">
        <v>29</v>
      </c>
      <c r="G17" s="10" t="s">
        <v>23</v>
      </c>
      <c r="H17" s="12">
        <v>833762</v>
      </c>
      <c r="I17" s="12">
        <v>324290</v>
      </c>
      <c r="J17" s="13">
        <f>I17/H17*100</f>
        <v>38.894792518728366</v>
      </c>
      <c r="K17" s="12">
        <v>648579</v>
      </c>
      <c r="L17" s="12">
        <f>H17-447114</f>
        <v>386648</v>
      </c>
      <c r="M17" s="12">
        <v>201465</v>
      </c>
      <c r="N17" s="12">
        <f>E17*0.2</f>
        <v>166752.40000000002</v>
      </c>
      <c r="O17" s="14">
        <v>0.75</v>
      </c>
      <c r="P17" s="12">
        <f>L17/O17</f>
        <v>515530.66666666669</v>
      </c>
      <c r="Q17" s="15">
        <f>L17/O17/43560</f>
        <v>11.834955616773799</v>
      </c>
      <c r="R17" s="15">
        <f>M17/O17/43560</f>
        <v>6.166666666666667</v>
      </c>
      <c r="S17" s="10" t="s">
        <v>24</v>
      </c>
    </row>
    <row r="18" spans="1:19" x14ac:dyDescent="0.25">
      <c r="A18" s="10" t="s">
        <v>1374</v>
      </c>
      <c r="B18" s="10" t="s">
        <v>1375</v>
      </c>
      <c r="C18" s="10" t="s">
        <v>1369</v>
      </c>
      <c r="D18" s="11">
        <v>45093</v>
      </c>
      <c r="E18" s="12">
        <v>1650000</v>
      </c>
      <c r="F18" s="10" t="s">
        <v>29</v>
      </c>
      <c r="G18" s="10" t="s">
        <v>23</v>
      </c>
      <c r="H18" s="12">
        <v>1650000</v>
      </c>
      <c r="I18" s="12">
        <v>707910</v>
      </c>
      <c r="J18" s="13">
        <f>I18/H18*100</f>
        <v>42.903636363636366</v>
      </c>
      <c r="K18" s="12">
        <v>1415817</v>
      </c>
      <c r="L18" s="12">
        <f>H18-1239577</f>
        <v>410423</v>
      </c>
      <c r="M18" s="12">
        <v>176240</v>
      </c>
      <c r="N18" s="12">
        <f>E18*0.2</f>
        <v>330000</v>
      </c>
      <c r="O18" s="14">
        <v>0.93799999999999994</v>
      </c>
      <c r="P18" s="12">
        <f>L18/O18</f>
        <v>437551.17270788917</v>
      </c>
      <c r="Q18" s="15">
        <f>L18/O18/43560</f>
        <v>10.044792761889099</v>
      </c>
      <c r="R18" s="15">
        <f>M18/O18/43560</f>
        <v>4.3133408126623873</v>
      </c>
      <c r="S18" s="10" t="s">
        <v>24</v>
      </c>
    </row>
    <row r="19" spans="1:19" ht="15.75" thickBot="1" x14ac:dyDescent="0.3">
      <c r="A19" s="16"/>
      <c r="B19" s="16"/>
      <c r="C19" s="16"/>
      <c r="D19" s="17"/>
      <c r="E19" s="18"/>
      <c r="F19" s="16"/>
      <c r="G19" s="16"/>
      <c r="H19" s="18"/>
      <c r="I19" s="18"/>
      <c r="J19" s="19"/>
      <c r="K19" s="18"/>
      <c r="L19" s="18">
        <f>AVERAGE(L15:L18)</f>
        <v>278741.25</v>
      </c>
      <c r="M19" s="18">
        <f>AVERAGE(M15:M18)</f>
        <v>202597.75</v>
      </c>
      <c r="N19" s="18">
        <f>AVERAGE(N15:N18)</f>
        <v>200938.1</v>
      </c>
      <c r="O19" s="20"/>
      <c r="P19" s="18"/>
      <c r="Q19" s="21">
        <f>AVERAGE(Q15:Q18)</f>
        <v>7.501969505104384</v>
      </c>
      <c r="R19" s="21">
        <f>AVERAGE(R15:R18)</f>
        <v>5.3841161637935571</v>
      </c>
      <c r="S19" s="16"/>
    </row>
    <row r="20" spans="1:19" ht="15.75" thickTop="1" x14ac:dyDescent="0.25">
      <c r="A20" s="10"/>
      <c r="B20" s="10"/>
      <c r="C20" s="10"/>
      <c r="D20" s="11"/>
      <c r="E20" s="12"/>
      <c r="F20" s="10"/>
      <c r="G20" s="10"/>
      <c r="H20" s="12"/>
      <c r="I20" s="12"/>
      <c r="J20" s="13"/>
      <c r="K20" s="12"/>
      <c r="L20" s="12"/>
      <c r="M20" s="12"/>
      <c r="N20" s="12"/>
      <c r="O20" s="14"/>
      <c r="P20" s="12"/>
      <c r="Q20" s="15"/>
      <c r="R20" s="15"/>
      <c r="S20" s="10"/>
    </row>
    <row r="21" spans="1:19" x14ac:dyDescent="0.25">
      <c r="A21" s="10"/>
      <c r="B21" s="10"/>
      <c r="C21" s="10"/>
      <c r="D21" s="11"/>
      <c r="E21" s="12"/>
      <c r="F21" s="10"/>
      <c r="G21" s="10"/>
      <c r="H21" s="12"/>
      <c r="I21" s="12"/>
      <c r="J21" s="13"/>
      <c r="K21" s="12"/>
      <c r="L21" s="12"/>
      <c r="M21" s="12"/>
      <c r="N21" s="12"/>
      <c r="O21" s="14"/>
      <c r="P21" s="12"/>
      <c r="Q21" s="15"/>
      <c r="R21" s="15"/>
      <c r="S21" s="10"/>
    </row>
    <row r="22" spans="1:19" x14ac:dyDescent="0.25">
      <c r="A22" s="10" t="s">
        <v>1376</v>
      </c>
      <c r="B22" s="10" t="s">
        <v>1377</v>
      </c>
      <c r="C22" s="10" t="s">
        <v>1378</v>
      </c>
      <c r="D22" s="11">
        <v>45387</v>
      </c>
      <c r="E22" s="12">
        <v>790000</v>
      </c>
      <c r="F22" s="10" t="s">
        <v>1379</v>
      </c>
      <c r="G22" s="10" t="s">
        <v>23</v>
      </c>
      <c r="H22" s="12">
        <v>790000</v>
      </c>
      <c r="I22" s="12">
        <v>358990</v>
      </c>
      <c r="J22" s="13">
        <f t="shared" ref="J22:J34" si="0">I22/H22*100</f>
        <v>45.441772151898732</v>
      </c>
      <c r="K22" s="12">
        <v>717985</v>
      </c>
      <c r="L22" s="12">
        <f>H22-547883</f>
        <v>242117</v>
      </c>
      <c r="M22" s="12">
        <v>170102</v>
      </c>
      <c r="N22" s="12">
        <f t="shared" ref="N22:N34" si="1">E22*0.2</f>
        <v>158000</v>
      </c>
      <c r="O22" s="14">
        <v>0.78</v>
      </c>
      <c r="P22" s="12">
        <f t="shared" ref="P22:P34" si="2">L22/O22</f>
        <v>310406.41025641025</v>
      </c>
      <c r="Q22" s="15">
        <f t="shared" ref="Q22:Q34" si="3">L22/O22/43560</f>
        <v>7.1259506486779216</v>
      </c>
      <c r="R22" s="15">
        <f t="shared" ref="R22:R34" si="4">M22/O22/43560</f>
        <v>5.0064161427797789</v>
      </c>
      <c r="S22" s="10" t="s">
        <v>24</v>
      </c>
    </row>
    <row r="23" spans="1:19" x14ac:dyDescent="0.25">
      <c r="A23" s="10" t="s">
        <v>1380</v>
      </c>
      <c r="B23" s="10" t="s">
        <v>1381</v>
      </c>
      <c r="C23" s="10" t="s">
        <v>1378</v>
      </c>
      <c r="D23" s="11">
        <v>45583</v>
      </c>
      <c r="E23" s="12">
        <v>585000</v>
      </c>
      <c r="F23" s="10" t="s">
        <v>29</v>
      </c>
      <c r="G23" s="10" t="s">
        <v>23</v>
      </c>
      <c r="H23" s="12">
        <v>585000</v>
      </c>
      <c r="I23" s="12">
        <v>305400</v>
      </c>
      <c r="J23" s="13">
        <f t="shared" si="0"/>
        <v>52.205128205128204</v>
      </c>
      <c r="K23" s="12">
        <v>610809</v>
      </c>
      <c r="L23" s="12">
        <f>H23-476034</f>
        <v>108966</v>
      </c>
      <c r="M23" s="12">
        <v>134775</v>
      </c>
      <c r="N23" s="12">
        <f t="shared" si="1"/>
        <v>117000</v>
      </c>
      <c r="O23" s="14">
        <v>0.47599999999999998</v>
      </c>
      <c r="P23" s="12">
        <f t="shared" si="2"/>
        <v>228920.16806722691</v>
      </c>
      <c r="Q23" s="15">
        <f t="shared" si="3"/>
        <v>5.2552839317545201</v>
      </c>
      <c r="R23" s="15">
        <f t="shared" si="4"/>
        <v>6.5000173623168287</v>
      </c>
      <c r="S23" s="10" t="s">
        <v>24</v>
      </c>
    </row>
    <row r="24" spans="1:19" x14ac:dyDescent="0.25">
      <c r="A24" s="10" t="s">
        <v>1382</v>
      </c>
      <c r="B24" s="10" t="s">
        <v>1383</v>
      </c>
      <c r="C24" s="10" t="s">
        <v>1378</v>
      </c>
      <c r="D24" s="11">
        <v>45565</v>
      </c>
      <c r="E24" s="12">
        <v>615000</v>
      </c>
      <c r="F24" s="10" t="s">
        <v>22</v>
      </c>
      <c r="G24" s="10" t="s">
        <v>23</v>
      </c>
      <c r="H24" s="12">
        <v>615000</v>
      </c>
      <c r="I24" s="12">
        <v>290290</v>
      </c>
      <c r="J24" s="13">
        <f t="shared" si="0"/>
        <v>47.201626016260164</v>
      </c>
      <c r="K24" s="12">
        <v>580578</v>
      </c>
      <c r="L24" s="12">
        <f>H24-420059</f>
        <v>194941</v>
      </c>
      <c r="M24" s="12">
        <v>160519</v>
      </c>
      <c r="N24" s="12">
        <f t="shared" si="1"/>
        <v>123000</v>
      </c>
      <c r="O24" s="14">
        <v>0.67400000000000004</v>
      </c>
      <c r="P24" s="12">
        <f t="shared" si="2"/>
        <v>289229.9703264095</v>
      </c>
      <c r="Q24" s="15">
        <f t="shared" si="3"/>
        <v>6.6398064813225322</v>
      </c>
      <c r="R24" s="15">
        <f t="shared" si="4"/>
        <v>5.4673726746831681</v>
      </c>
      <c r="S24" s="10" t="s">
        <v>24</v>
      </c>
    </row>
    <row r="25" spans="1:19" x14ac:dyDescent="0.25">
      <c r="A25" s="10" t="s">
        <v>1384</v>
      </c>
      <c r="B25" s="10" t="s">
        <v>1385</v>
      </c>
      <c r="C25" s="10" t="s">
        <v>1378</v>
      </c>
      <c r="D25" s="11">
        <v>45135</v>
      </c>
      <c r="E25" s="12">
        <v>650000</v>
      </c>
      <c r="F25" s="10" t="s">
        <v>22</v>
      </c>
      <c r="G25" s="10" t="s">
        <v>23</v>
      </c>
      <c r="H25" s="12">
        <v>650000</v>
      </c>
      <c r="I25" s="12">
        <v>341500</v>
      </c>
      <c r="J25" s="13">
        <f t="shared" si="0"/>
        <v>52.538461538461533</v>
      </c>
      <c r="K25" s="12">
        <v>683000</v>
      </c>
      <c r="L25" s="12">
        <f>H25-546243</f>
        <v>103757</v>
      </c>
      <c r="M25" s="12">
        <v>136757</v>
      </c>
      <c r="N25" s="12">
        <f t="shared" si="1"/>
        <v>130000</v>
      </c>
      <c r="O25" s="14">
        <v>0.48299999999999998</v>
      </c>
      <c r="P25" s="12">
        <f t="shared" si="2"/>
        <v>214817.80538302279</v>
      </c>
      <c r="Q25" s="15">
        <f t="shared" si="3"/>
        <v>4.9315382319334891</v>
      </c>
      <c r="R25" s="15">
        <f t="shared" si="4"/>
        <v>6.5000180612828835</v>
      </c>
      <c r="S25" s="10" t="s">
        <v>24</v>
      </c>
    </row>
    <row r="26" spans="1:19" x14ac:dyDescent="0.25">
      <c r="A26" s="10" t="s">
        <v>1386</v>
      </c>
      <c r="B26" s="10" t="s">
        <v>1387</v>
      </c>
      <c r="C26" s="10" t="s">
        <v>1378</v>
      </c>
      <c r="D26" s="11">
        <v>45194</v>
      </c>
      <c r="E26" s="12">
        <v>682000</v>
      </c>
      <c r="F26" s="10" t="s">
        <v>29</v>
      </c>
      <c r="G26" s="10" t="s">
        <v>23</v>
      </c>
      <c r="H26" s="12">
        <v>682000</v>
      </c>
      <c r="I26" s="12">
        <v>333890</v>
      </c>
      <c r="J26" s="13">
        <f t="shared" si="0"/>
        <v>48.957478005865099</v>
      </c>
      <c r="K26" s="12">
        <v>667785</v>
      </c>
      <c r="L26" s="12">
        <f>H26-518592</f>
        <v>163408</v>
      </c>
      <c r="M26" s="12">
        <v>149193</v>
      </c>
      <c r="N26" s="12">
        <f t="shared" si="1"/>
        <v>136400</v>
      </c>
      <c r="O26" s="14">
        <v>0.56999999999999995</v>
      </c>
      <c r="P26" s="12">
        <f t="shared" si="2"/>
        <v>286680.70175438601</v>
      </c>
      <c r="Q26" s="15">
        <f t="shared" si="3"/>
        <v>6.5812833276948117</v>
      </c>
      <c r="R26" s="15">
        <f t="shared" si="4"/>
        <v>6.0087719298245617</v>
      </c>
      <c r="S26" s="10" t="s">
        <v>24</v>
      </c>
    </row>
    <row r="27" spans="1:19" x14ac:dyDescent="0.25">
      <c r="A27" s="10" t="s">
        <v>1388</v>
      </c>
      <c r="B27" s="10" t="s">
        <v>1389</v>
      </c>
      <c r="C27" s="10" t="s">
        <v>1378</v>
      </c>
      <c r="D27" s="11">
        <v>45455</v>
      </c>
      <c r="E27" s="12">
        <v>698500</v>
      </c>
      <c r="F27" s="10" t="s">
        <v>29</v>
      </c>
      <c r="G27" s="10" t="s">
        <v>23</v>
      </c>
      <c r="H27" s="12">
        <v>698500</v>
      </c>
      <c r="I27" s="12">
        <v>315480</v>
      </c>
      <c r="J27" s="13">
        <f t="shared" si="0"/>
        <v>45.165354330708659</v>
      </c>
      <c r="K27" s="12">
        <v>630955</v>
      </c>
      <c r="L27" s="12">
        <f>H27-475446</f>
        <v>223054</v>
      </c>
      <c r="M27" s="12">
        <v>155509</v>
      </c>
      <c r="N27" s="12">
        <f t="shared" si="1"/>
        <v>139700</v>
      </c>
      <c r="O27" s="14">
        <v>0.628</v>
      </c>
      <c r="P27" s="12">
        <f t="shared" si="2"/>
        <v>355181.5286624204</v>
      </c>
      <c r="Q27" s="15">
        <f t="shared" si="3"/>
        <v>8.153845928889357</v>
      </c>
      <c r="R27" s="15">
        <f t="shared" si="4"/>
        <v>5.6847060647002738</v>
      </c>
      <c r="S27" s="10" t="s">
        <v>24</v>
      </c>
    </row>
    <row r="28" spans="1:19" x14ac:dyDescent="0.25">
      <c r="A28" s="10" t="s">
        <v>1390</v>
      </c>
      <c r="B28" s="10" t="s">
        <v>1391</v>
      </c>
      <c r="C28" s="10" t="s">
        <v>1378</v>
      </c>
      <c r="D28" s="11">
        <v>45350</v>
      </c>
      <c r="E28" s="12">
        <v>725000</v>
      </c>
      <c r="F28" s="10" t="s">
        <v>29</v>
      </c>
      <c r="G28" s="10" t="s">
        <v>23</v>
      </c>
      <c r="H28" s="12">
        <v>725000</v>
      </c>
      <c r="I28" s="12">
        <v>280370</v>
      </c>
      <c r="J28" s="13">
        <f t="shared" si="0"/>
        <v>38.671724137931037</v>
      </c>
      <c r="K28" s="12">
        <v>560743</v>
      </c>
      <c r="L28" s="12">
        <f>H28-420201</f>
        <v>304799</v>
      </c>
      <c r="M28" s="12">
        <v>140542</v>
      </c>
      <c r="N28" s="12">
        <f t="shared" si="1"/>
        <v>145000</v>
      </c>
      <c r="O28" s="14">
        <v>0.90800000000000003</v>
      </c>
      <c r="P28" s="12">
        <f t="shared" si="2"/>
        <v>335681.71806167398</v>
      </c>
      <c r="Q28" s="15">
        <f t="shared" si="3"/>
        <v>7.7061918746940767</v>
      </c>
      <c r="R28" s="15">
        <f t="shared" si="4"/>
        <v>3.553304369283544</v>
      </c>
      <c r="S28" s="10" t="s">
        <v>24</v>
      </c>
    </row>
    <row r="29" spans="1:19" x14ac:dyDescent="0.25">
      <c r="A29" s="10" t="s">
        <v>1392</v>
      </c>
      <c r="B29" s="10" t="s">
        <v>1393</v>
      </c>
      <c r="C29" s="10" t="s">
        <v>1378</v>
      </c>
      <c r="D29" s="11">
        <v>45189</v>
      </c>
      <c r="E29" s="12">
        <v>865000</v>
      </c>
      <c r="F29" s="10" t="s">
        <v>22</v>
      </c>
      <c r="G29" s="10" t="s">
        <v>23</v>
      </c>
      <c r="H29" s="12">
        <v>865000</v>
      </c>
      <c r="I29" s="12">
        <v>346300</v>
      </c>
      <c r="J29" s="13">
        <f t="shared" si="0"/>
        <v>40.034682080924853</v>
      </c>
      <c r="K29" s="12">
        <v>692594</v>
      </c>
      <c r="L29" s="12">
        <f>H29-566444</f>
        <v>298556</v>
      </c>
      <c r="M29" s="12">
        <v>126150</v>
      </c>
      <c r="N29" s="12">
        <f t="shared" si="1"/>
        <v>173000</v>
      </c>
      <c r="O29" s="14">
        <v>0.64800000000000002</v>
      </c>
      <c r="P29" s="12">
        <f t="shared" si="2"/>
        <v>460734.56790123455</v>
      </c>
      <c r="Q29" s="15">
        <f t="shared" si="3"/>
        <v>10.577010282397488</v>
      </c>
      <c r="R29" s="15">
        <f t="shared" si="4"/>
        <v>4.4691443050028905</v>
      </c>
      <c r="S29" s="10" t="s">
        <v>24</v>
      </c>
    </row>
    <row r="30" spans="1:19" x14ac:dyDescent="0.25">
      <c r="A30" s="10" t="s">
        <v>1394</v>
      </c>
      <c r="B30" s="10" t="s">
        <v>1395</v>
      </c>
      <c r="C30" s="10" t="s">
        <v>1378</v>
      </c>
      <c r="D30" s="11">
        <v>45512</v>
      </c>
      <c r="E30" s="12">
        <v>650000</v>
      </c>
      <c r="F30" s="10" t="s">
        <v>29</v>
      </c>
      <c r="G30" s="10" t="s">
        <v>23</v>
      </c>
      <c r="H30" s="12">
        <v>650000</v>
      </c>
      <c r="I30" s="12">
        <v>302960</v>
      </c>
      <c r="J30" s="13">
        <f t="shared" si="0"/>
        <v>46.60923076923077</v>
      </c>
      <c r="K30" s="12">
        <v>605928</v>
      </c>
      <c r="L30" s="12">
        <f>H30-462724</f>
        <v>187276</v>
      </c>
      <c r="M30" s="12">
        <v>143204</v>
      </c>
      <c r="N30" s="12">
        <f t="shared" si="1"/>
        <v>130000</v>
      </c>
      <c r="O30" s="14">
        <v>0.51500000000000001</v>
      </c>
      <c r="P30" s="12">
        <f t="shared" si="2"/>
        <v>363642.71844660194</v>
      </c>
      <c r="Q30" s="15">
        <f t="shared" si="3"/>
        <v>8.3480881186088602</v>
      </c>
      <c r="R30" s="15">
        <f t="shared" si="4"/>
        <v>6.3835174338263485</v>
      </c>
      <c r="S30" s="10" t="s">
        <v>24</v>
      </c>
    </row>
    <row r="31" spans="1:19" x14ac:dyDescent="0.25">
      <c r="A31" s="10" t="s">
        <v>1396</v>
      </c>
      <c r="B31" s="10" t="s">
        <v>1397</v>
      </c>
      <c r="C31" s="10" t="s">
        <v>1378</v>
      </c>
      <c r="D31" s="11">
        <v>45502</v>
      </c>
      <c r="E31" s="12">
        <v>613500</v>
      </c>
      <c r="F31" s="10" t="s">
        <v>22</v>
      </c>
      <c r="G31" s="10" t="s">
        <v>23</v>
      </c>
      <c r="H31" s="12">
        <v>613500</v>
      </c>
      <c r="I31" s="12">
        <v>262210</v>
      </c>
      <c r="J31" s="13">
        <f t="shared" si="0"/>
        <v>42.740016299918501</v>
      </c>
      <c r="K31" s="12">
        <v>524413</v>
      </c>
      <c r="L31" s="12">
        <f>H31-362479</f>
        <v>251021</v>
      </c>
      <c r="M31" s="12">
        <v>161934</v>
      </c>
      <c r="N31" s="12">
        <f t="shared" si="1"/>
        <v>122700</v>
      </c>
      <c r="O31" s="14">
        <v>0.68700000000000006</v>
      </c>
      <c r="P31" s="12">
        <f t="shared" si="2"/>
        <v>365387.19068413391</v>
      </c>
      <c r="Q31" s="15">
        <f t="shared" si="3"/>
        <v>8.3881356906366822</v>
      </c>
      <c r="R31" s="15">
        <f t="shared" si="4"/>
        <v>5.4111981265613656</v>
      </c>
      <c r="S31" s="10" t="s">
        <v>24</v>
      </c>
    </row>
    <row r="32" spans="1:19" x14ac:dyDescent="0.25">
      <c r="A32" s="10" t="s">
        <v>1398</v>
      </c>
      <c r="B32" s="10" t="s">
        <v>1399</v>
      </c>
      <c r="C32" s="10" t="s">
        <v>1378</v>
      </c>
      <c r="D32" s="11">
        <v>45103</v>
      </c>
      <c r="E32" s="12">
        <v>782250</v>
      </c>
      <c r="F32" s="10" t="s">
        <v>22</v>
      </c>
      <c r="G32" s="10" t="s">
        <v>23</v>
      </c>
      <c r="H32" s="12">
        <v>782250</v>
      </c>
      <c r="I32" s="12">
        <v>324090</v>
      </c>
      <c r="J32" s="13">
        <f t="shared" si="0"/>
        <v>41.430488974113132</v>
      </c>
      <c r="K32" s="12">
        <v>648178</v>
      </c>
      <c r="L32" s="12">
        <f>H32-502905</f>
        <v>279345</v>
      </c>
      <c r="M32" s="12">
        <v>145273</v>
      </c>
      <c r="N32" s="12">
        <f t="shared" si="1"/>
        <v>156450</v>
      </c>
      <c r="O32" s="14">
        <v>0.53400000000000003</v>
      </c>
      <c r="P32" s="12">
        <f t="shared" si="2"/>
        <v>523117.97752808983</v>
      </c>
      <c r="Q32" s="15">
        <f t="shared" si="3"/>
        <v>12.009136306889115</v>
      </c>
      <c r="R32" s="15">
        <f t="shared" si="4"/>
        <v>6.2453355481956088</v>
      </c>
      <c r="S32" s="10" t="s">
        <v>24</v>
      </c>
    </row>
    <row r="33" spans="1:19" x14ac:dyDescent="0.25">
      <c r="A33" s="10" t="s">
        <v>1400</v>
      </c>
      <c r="B33" s="10" t="s">
        <v>1401</v>
      </c>
      <c r="C33" s="10" t="s">
        <v>1378</v>
      </c>
      <c r="D33" s="11">
        <v>45456</v>
      </c>
      <c r="E33" s="12">
        <v>759000</v>
      </c>
      <c r="F33" s="10" t="s">
        <v>22</v>
      </c>
      <c r="G33" s="10" t="s">
        <v>23</v>
      </c>
      <c r="H33" s="12">
        <v>759000</v>
      </c>
      <c r="I33" s="12">
        <v>304830</v>
      </c>
      <c r="J33" s="13">
        <f t="shared" si="0"/>
        <v>40.162055335968375</v>
      </c>
      <c r="K33" s="12">
        <v>609654</v>
      </c>
      <c r="L33" s="12">
        <f>H33-465035</f>
        <v>293965</v>
      </c>
      <c r="M33" s="12">
        <v>144619</v>
      </c>
      <c r="N33" s="12">
        <f t="shared" si="1"/>
        <v>151800</v>
      </c>
      <c r="O33" s="14">
        <v>0.52800000000000002</v>
      </c>
      <c r="P33" s="12">
        <f t="shared" si="2"/>
        <v>556751.89393939392</v>
      </c>
      <c r="Q33" s="15">
        <f t="shared" si="3"/>
        <v>12.78126478281437</v>
      </c>
      <c r="R33" s="15">
        <f t="shared" si="4"/>
        <v>6.2878700921056296</v>
      </c>
      <c r="S33" s="10" t="s">
        <v>24</v>
      </c>
    </row>
    <row r="34" spans="1:19" x14ac:dyDescent="0.25">
      <c r="A34" s="10" t="s">
        <v>1402</v>
      </c>
      <c r="B34" s="10" t="s">
        <v>1403</v>
      </c>
      <c r="C34" s="10" t="s">
        <v>1378</v>
      </c>
      <c r="D34" s="11">
        <v>45379</v>
      </c>
      <c r="E34" s="12">
        <v>755000</v>
      </c>
      <c r="F34" s="10" t="s">
        <v>29</v>
      </c>
      <c r="G34" s="10" t="s">
        <v>23</v>
      </c>
      <c r="H34" s="12">
        <v>755000</v>
      </c>
      <c r="I34" s="12">
        <v>308830</v>
      </c>
      <c r="J34" s="13">
        <f t="shared" si="0"/>
        <v>40.904635761589404</v>
      </c>
      <c r="K34" s="12">
        <v>617659</v>
      </c>
      <c r="L34" s="12">
        <f>H34-487698</f>
        <v>267302</v>
      </c>
      <c r="M34" s="12">
        <v>129961</v>
      </c>
      <c r="N34" s="12">
        <f t="shared" si="1"/>
        <v>151000</v>
      </c>
      <c r="O34" s="14">
        <v>0.60399999999999998</v>
      </c>
      <c r="P34" s="12">
        <f t="shared" si="2"/>
        <v>442552.98013245035</v>
      </c>
      <c r="Q34" s="15">
        <f t="shared" si="3"/>
        <v>10.159618460340917</v>
      </c>
      <c r="R34" s="15">
        <f t="shared" si="4"/>
        <v>4.9395596543399076</v>
      </c>
      <c r="S34" s="10" t="s">
        <v>24</v>
      </c>
    </row>
    <row r="35" spans="1:19" ht="15.75" thickBot="1" x14ac:dyDescent="0.3">
      <c r="A35" s="16"/>
      <c r="B35" s="16"/>
      <c r="C35" s="16"/>
      <c r="D35" s="17"/>
      <c r="E35" s="18"/>
      <c r="F35" s="16"/>
      <c r="G35" s="16"/>
      <c r="H35" s="18"/>
      <c r="I35" s="18"/>
      <c r="J35" s="19"/>
      <c r="K35" s="18"/>
      <c r="L35" s="18">
        <f>AVERAGE(L22:L34)</f>
        <v>224500.53846153847</v>
      </c>
      <c r="M35" s="18">
        <f>AVERAGE(M22:M34)</f>
        <v>146041.38461538462</v>
      </c>
      <c r="N35" s="18">
        <f>AVERAGE(N22:N34)</f>
        <v>141080.76923076922</v>
      </c>
      <c r="O35" s="20"/>
      <c r="P35" s="18"/>
      <c r="Q35" s="21">
        <f>AVERAGE(Q22:Q34)</f>
        <v>8.3582426205118576</v>
      </c>
      <c r="R35" s="21">
        <f>AVERAGE(R22:R34)</f>
        <v>5.5736332126848298</v>
      </c>
      <c r="S35" s="16"/>
    </row>
    <row r="36" spans="1:19" ht="15.75" thickTop="1" x14ac:dyDescent="0.25">
      <c r="A36" s="10"/>
      <c r="B36" s="10"/>
      <c r="C36" s="10"/>
      <c r="D36" s="11"/>
      <c r="E36" s="12"/>
      <c r="F36" s="10"/>
      <c r="G36" s="10"/>
      <c r="H36" s="12"/>
      <c r="I36" s="12"/>
      <c r="J36" s="13"/>
      <c r="K36" s="12"/>
      <c r="L36" s="12"/>
      <c r="M36" s="12"/>
      <c r="N36" s="12"/>
      <c r="O36" s="14"/>
      <c r="P36" s="12"/>
      <c r="Q36" s="15"/>
      <c r="R36" s="15"/>
      <c r="S36" s="10"/>
    </row>
    <row r="37" spans="1:19" x14ac:dyDescent="0.25">
      <c r="A37" s="10"/>
      <c r="B37" s="10"/>
      <c r="C37" s="10"/>
      <c r="D37" s="11"/>
      <c r="E37" s="12"/>
      <c r="F37" s="10"/>
      <c r="G37" s="10"/>
      <c r="H37" s="12"/>
      <c r="I37" s="12"/>
      <c r="J37" s="13"/>
      <c r="K37" s="12"/>
      <c r="L37" s="12"/>
      <c r="M37" s="12"/>
      <c r="N37" s="12"/>
      <c r="O37" s="14"/>
      <c r="P37" s="12"/>
      <c r="Q37" s="15"/>
      <c r="R37" s="15"/>
      <c r="S37" s="10"/>
    </row>
    <row r="38" spans="1:19" x14ac:dyDescent="0.25">
      <c r="A38" s="10" t="s">
        <v>1404</v>
      </c>
      <c r="B38" s="10" t="s">
        <v>1405</v>
      </c>
      <c r="C38" s="10" t="s">
        <v>1406</v>
      </c>
      <c r="D38" s="11">
        <v>45352</v>
      </c>
      <c r="E38" s="12">
        <v>550000</v>
      </c>
      <c r="F38" s="10" t="s">
        <v>22</v>
      </c>
      <c r="G38" s="10" t="s">
        <v>23</v>
      </c>
      <c r="H38" s="12">
        <v>550000</v>
      </c>
      <c r="I38" s="12">
        <v>281260</v>
      </c>
      <c r="J38" s="13">
        <f t="shared" ref="J38:J46" si="5">I38/H38*100</f>
        <v>51.138181818181813</v>
      </c>
      <c r="K38" s="12">
        <v>562516</v>
      </c>
      <c r="L38" s="12">
        <f>H38-396204</f>
        <v>153796</v>
      </c>
      <c r="M38" s="12">
        <v>166312</v>
      </c>
      <c r="N38" s="12">
        <f t="shared" ref="N38:N46" si="6">E38*0.2</f>
        <v>110000</v>
      </c>
      <c r="O38" s="14">
        <v>0.46</v>
      </c>
      <c r="P38" s="12">
        <f t="shared" ref="P38:P46" si="7">L38/O38</f>
        <v>334339.13043478259</v>
      </c>
      <c r="Q38" s="15">
        <f t="shared" ref="Q38:Q46" si="8">L38/O38/43560</f>
        <v>7.6753703038288013</v>
      </c>
      <c r="R38" s="15">
        <f t="shared" ref="R38:R46" si="9">M38/O38/43560</f>
        <v>8.2999960075058876</v>
      </c>
      <c r="S38" s="10" t="s">
        <v>24</v>
      </c>
    </row>
    <row r="39" spans="1:19" x14ac:dyDescent="0.25">
      <c r="A39" s="10" t="s">
        <v>1407</v>
      </c>
      <c r="B39" s="10" t="s">
        <v>1408</v>
      </c>
      <c r="C39" s="10" t="s">
        <v>1406</v>
      </c>
      <c r="D39" s="11">
        <v>45471</v>
      </c>
      <c r="E39" s="12">
        <v>2175000</v>
      </c>
      <c r="F39" s="10" t="s">
        <v>29</v>
      </c>
      <c r="G39" s="10" t="s">
        <v>23</v>
      </c>
      <c r="H39" s="12">
        <v>2175000</v>
      </c>
      <c r="I39" s="12">
        <v>110290</v>
      </c>
      <c r="J39" s="13">
        <f t="shared" si="5"/>
        <v>5.0708045977011489</v>
      </c>
      <c r="K39" s="12">
        <v>220586</v>
      </c>
      <c r="L39" s="12">
        <f>H39-49574</f>
        <v>2125426</v>
      </c>
      <c r="M39" s="12">
        <v>171012</v>
      </c>
      <c r="N39" s="12">
        <f t="shared" si="6"/>
        <v>435000</v>
      </c>
      <c r="O39" s="14">
        <v>0.47299999999999998</v>
      </c>
      <c r="P39" s="12">
        <f t="shared" si="7"/>
        <v>4493501.0570824528</v>
      </c>
      <c r="Q39" s="15">
        <f t="shared" si="8"/>
        <v>103.15658992383959</v>
      </c>
      <c r="R39" s="15">
        <f t="shared" si="9"/>
        <v>8.2999900989522377</v>
      </c>
      <c r="S39" s="10" t="s">
        <v>24</v>
      </c>
    </row>
    <row r="40" spans="1:19" x14ac:dyDescent="0.25">
      <c r="A40" s="10" t="s">
        <v>1409</v>
      </c>
      <c r="B40" s="10" t="s">
        <v>1410</v>
      </c>
      <c r="C40" s="10" t="s">
        <v>1406</v>
      </c>
      <c r="D40" s="11">
        <v>45198</v>
      </c>
      <c r="E40" s="12">
        <v>1231000</v>
      </c>
      <c r="F40" s="10" t="s">
        <v>22</v>
      </c>
      <c r="G40" s="10" t="s">
        <v>23</v>
      </c>
      <c r="H40" s="12">
        <v>1231000</v>
      </c>
      <c r="I40" s="12">
        <v>490270</v>
      </c>
      <c r="J40" s="13">
        <f t="shared" si="5"/>
        <v>39.826969943135659</v>
      </c>
      <c r="K40" s="12">
        <v>980544</v>
      </c>
      <c r="L40" s="12">
        <f>H40-794771</f>
        <v>436229</v>
      </c>
      <c r="M40" s="12">
        <v>185773</v>
      </c>
      <c r="N40" s="12">
        <f t="shared" si="6"/>
        <v>246200</v>
      </c>
      <c r="O40" s="14">
        <v>0.55100000000000005</v>
      </c>
      <c r="P40" s="12">
        <f t="shared" si="7"/>
        <v>791704.17422867508</v>
      </c>
      <c r="Q40" s="15">
        <f t="shared" si="8"/>
        <v>18.175026956581153</v>
      </c>
      <c r="R40" s="15">
        <f t="shared" si="9"/>
        <v>7.7400385641599954</v>
      </c>
      <c r="S40" s="10" t="s">
        <v>24</v>
      </c>
    </row>
    <row r="41" spans="1:19" x14ac:dyDescent="0.25">
      <c r="A41" s="10" t="s">
        <v>1411</v>
      </c>
      <c r="B41" s="10" t="s">
        <v>1412</v>
      </c>
      <c r="C41" s="10" t="s">
        <v>1406</v>
      </c>
      <c r="D41" s="11">
        <v>45469</v>
      </c>
      <c r="E41" s="12">
        <v>675000</v>
      </c>
      <c r="F41" s="10" t="s">
        <v>29</v>
      </c>
      <c r="G41" s="10" t="s">
        <v>23</v>
      </c>
      <c r="H41" s="12">
        <v>675000</v>
      </c>
      <c r="I41" s="12">
        <v>331540</v>
      </c>
      <c r="J41" s="13">
        <f t="shared" si="5"/>
        <v>49.117037037037036</v>
      </c>
      <c r="K41" s="12">
        <v>663078</v>
      </c>
      <c r="L41" s="12">
        <f>H41-458470</f>
        <v>216530</v>
      </c>
      <c r="M41" s="12">
        <v>204608</v>
      </c>
      <c r="N41" s="12">
        <f t="shared" si="6"/>
        <v>135000</v>
      </c>
      <c r="O41" s="14">
        <v>0.74299999999999999</v>
      </c>
      <c r="P41" s="12">
        <f t="shared" si="7"/>
        <v>291426.64872139972</v>
      </c>
      <c r="Q41" s="15">
        <f t="shared" si="8"/>
        <v>6.6902352782690473</v>
      </c>
      <c r="R41" s="15">
        <f t="shared" si="9"/>
        <v>6.3218753051127941</v>
      </c>
      <c r="S41" s="10" t="s">
        <v>24</v>
      </c>
    </row>
    <row r="42" spans="1:19" x14ac:dyDescent="0.25">
      <c r="A42" s="10" t="s">
        <v>1413</v>
      </c>
      <c r="B42" s="10" t="s">
        <v>1414</v>
      </c>
      <c r="C42" s="10" t="s">
        <v>1406</v>
      </c>
      <c r="D42" s="11">
        <v>45706</v>
      </c>
      <c r="E42" s="12">
        <v>1700000</v>
      </c>
      <c r="F42" s="10" t="s">
        <v>29</v>
      </c>
      <c r="G42" s="10" t="s">
        <v>23</v>
      </c>
      <c r="H42" s="12">
        <v>1700000</v>
      </c>
      <c r="I42" s="12">
        <v>692970</v>
      </c>
      <c r="J42" s="13">
        <f t="shared" si="5"/>
        <v>40.762941176470591</v>
      </c>
      <c r="K42" s="12">
        <v>1385930</v>
      </c>
      <c r="L42" s="12">
        <f>H42-1255758</f>
        <v>444242</v>
      </c>
      <c r="M42" s="12">
        <v>130172</v>
      </c>
      <c r="N42" s="12">
        <f t="shared" si="6"/>
        <v>340000</v>
      </c>
      <c r="O42" s="14">
        <v>0.55300000000000005</v>
      </c>
      <c r="P42" s="12">
        <f t="shared" si="7"/>
        <v>803330.92224231455</v>
      </c>
      <c r="Q42" s="15">
        <f t="shared" si="8"/>
        <v>18.441940363689497</v>
      </c>
      <c r="R42" s="15">
        <f t="shared" si="9"/>
        <v>5.4038660482849199</v>
      </c>
      <c r="S42" s="10" t="s">
        <v>24</v>
      </c>
    </row>
    <row r="43" spans="1:19" x14ac:dyDescent="0.25">
      <c r="A43" s="10" t="s">
        <v>1415</v>
      </c>
      <c r="B43" s="10" t="s">
        <v>1416</v>
      </c>
      <c r="C43" s="10" t="s">
        <v>1406</v>
      </c>
      <c r="D43" s="11">
        <v>45096</v>
      </c>
      <c r="E43" s="12">
        <v>660000</v>
      </c>
      <c r="F43" s="10" t="s">
        <v>22</v>
      </c>
      <c r="G43" s="10" t="s">
        <v>23</v>
      </c>
      <c r="H43" s="12">
        <v>660000</v>
      </c>
      <c r="I43" s="12">
        <v>244430</v>
      </c>
      <c r="J43" s="13">
        <f t="shared" si="5"/>
        <v>37.034848484848489</v>
      </c>
      <c r="K43" s="12">
        <v>488865</v>
      </c>
      <c r="L43" s="12">
        <f>H43-371181</f>
        <v>288819</v>
      </c>
      <c r="M43" s="12">
        <v>117684</v>
      </c>
      <c r="N43" s="12">
        <f t="shared" si="6"/>
        <v>132000</v>
      </c>
      <c r="O43" s="14">
        <v>0.46500000000000002</v>
      </c>
      <c r="P43" s="12">
        <f t="shared" si="7"/>
        <v>621116.12903225806</v>
      </c>
      <c r="Q43" s="15">
        <f t="shared" si="8"/>
        <v>14.258864302852572</v>
      </c>
      <c r="R43" s="15">
        <f t="shared" si="9"/>
        <v>5.8100062205634044</v>
      </c>
      <c r="S43" s="10" t="s">
        <v>24</v>
      </c>
    </row>
    <row r="44" spans="1:19" x14ac:dyDescent="0.25">
      <c r="A44" s="10" t="s">
        <v>1417</v>
      </c>
      <c r="B44" s="10" t="s">
        <v>1418</v>
      </c>
      <c r="C44" s="10" t="s">
        <v>1406</v>
      </c>
      <c r="D44" s="11">
        <v>45107</v>
      </c>
      <c r="E44" s="12">
        <v>750000</v>
      </c>
      <c r="F44" s="10" t="s">
        <v>29</v>
      </c>
      <c r="G44" s="10" t="s">
        <v>23</v>
      </c>
      <c r="H44" s="12">
        <v>750000</v>
      </c>
      <c r="I44" s="12">
        <v>305500</v>
      </c>
      <c r="J44" s="13">
        <f t="shared" si="5"/>
        <v>40.733333333333334</v>
      </c>
      <c r="K44" s="12">
        <v>610990</v>
      </c>
      <c r="L44" s="12">
        <f>H44-442147</f>
        <v>307853</v>
      </c>
      <c r="M44" s="12">
        <v>168843</v>
      </c>
      <c r="N44" s="12">
        <f t="shared" si="6"/>
        <v>150000</v>
      </c>
      <c r="O44" s="14">
        <v>0.46700000000000003</v>
      </c>
      <c r="P44" s="12">
        <f t="shared" si="7"/>
        <v>659214.13276231254</v>
      </c>
      <c r="Q44" s="15">
        <f t="shared" si="8"/>
        <v>15.133474122183484</v>
      </c>
      <c r="R44" s="15">
        <f t="shared" si="9"/>
        <v>8.300004129281918</v>
      </c>
      <c r="S44" s="10" t="s">
        <v>24</v>
      </c>
    </row>
    <row r="45" spans="1:19" x14ac:dyDescent="0.25">
      <c r="A45" s="10" t="s">
        <v>1419</v>
      </c>
      <c r="B45" s="10" t="s">
        <v>1420</v>
      </c>
      <c r="C45" s="10" t="s">
        <v>1406</v>
      </c>
      <c r="D45" s="11">
        <v>45086</v>
      </c>
      <c r="E45" s="12">
        <v>640800</v>
      </c>
      <c r="F45" s="10" t="s">
        <v>22</v>
      </c>
      <c r="G45" s="10" t="s">
        <v>23</v>
      </c>
      <c r="H45" s="12">
        <v>640800</v>
      </c>
      <c r="I45" s="12">
        <v>362840</v>
      </c>
      <c r="J45" s="13">
        <f t="shared" si="5"/>
        <v>56.622971285892632</v>
      </c>
      <c r="K45" s="12">
        <v>725670</v>
      </c>
      <c r="L45" s="12">
        <f>H45-557550</f>
        <v>83250</v>
      </c>
      <c r="M45" s="12">
        <v>168120</v>
      </c>
      <c r="N45" s="12">
        <f t="shared" si="6"/>
        <v>128160</v>
      </c>
      <c r="O45" s="14">
        <v>0.46500000000000002</v>
      </c>
      <c r="P45" s="12">
        <f t="shared" si="7"/>
        <v>179032.25806451612</v>
      </c>
      <c r="Q45" s="15">
        <f t="shared" si="8"/>
        <v>4.1100151070825559</v>
      </c>
      <c r="R45" s="15">
        <f t="shared" si="9"/>
        <v>8.3000088865191497</v>
      </c>
      <c r="S45" s="10" t="s">
        <v>24</v>
      </c>
    </row>
    <row r="46" spans="1:19" x14ac:dyDescent="0.25">
      <c r="A46" s="10" t="s">
        <v>1421</v>
      </c>
      <c r="B46" s="10" t="s">
        <v>1422</v>
      </c>
      <c r="C46" s="10" t="s">
        <v>1406</v>
      </c>
      <c r="D46" s="11">
        <v>45590</v>
      </c>
      <c r="E46" s="12">
        <v>750000</v>
      </c>
      <c r="F46" s="10" t="s">
        <v>29</v>
      </c>
      <c r="G46" s="10" t="s">
        <v>23</v>
      </c>
      <c r="H46" s="12">
        <v>750000</v>
      </c>
      <c r="I46" s="12">
        <v>334310</v>
      </c>
      <c r="J46" s="13">
        <f t="shared" si="5"/>
        <v>44.574666666666666</v>
      </c>
      <c r="K46" s="12">
        <v>668616</v>
      </c>
      <c r="L46" s="12">
        <f>H46-480589</f>
        <v>269411</v>
      </c>
      <c r="M46" s="12">
        <v>188027</v>
      </c>
      <c r="N46" s="12">
        <f t="shared" si="6"/>
        <v>150000</v>
      </c>
      <c r="O46" s="14">
        <v>0.57399999999999995</v>
      </c>
      <c r="P46" s="12">
        <f t="shared" si="7"/>
        <v>469357.1428571429</v>
      </c>
      <c r="Q46" s="15">
        <f t="shared" si="8"/>
        <v>10.774957365866458</v>
      </c>
      <c r="R46" s="15">
        <f t="shared" si="9"/>
        <v>7.5200452417747332</v>
      </c>
      <c r="S46" s="10" t="s">
        <v>24</v>
      </c>
    </row>
    <row r="47" spans="1:19" ht="15.75" thickBot="1" x14ac:dyDescent="0.3">
      <c r="A47" s="16"/>
      <c r="B47" s="16"/>
      <c r="C47" s="16"/>
      <c r="D47" s="17"/>
      <c r="E47" s="18"/>
      <c r="F47" s="16"/>
      <c r="G47" s="16"/>
      <c r="H47" s="18"/>
      <c r="I47" s="18"/>
      <c r="J47" s="19"/>
      <c r="K47" s="18"/>
      <c r="L47" s="18">
        <f>AVERAGE(L38:L46)</f>
        <v>480617.33333333331</v>
      </c>
      <c r="M47" s="18">
        <f>AVERAGE(M38:M46)</f>
        <v>166727.88888888888</v>
      </c>
      <c r="N47" s="18">
        <f>AVERAGE(N38:N46)</f>
        <v>202928.88888888888</v>
      </c>
      <c r="O47" s="20"/>
      <c r="P47" s="18"/>
      <c r="Q47" s="21">
        <f>AVERAGE(Q38:Q46)</f>
        <v>22.046274858243684</v>
      </c>
      <c r="R47" s="21">
        <f>AVERAGE(R38:R46)</f>
        <v>7.3328700557950048</v>
      </c>
      <c r="S47" s="16"/>
    </row>
    <row r="48" spans="1:19" ht="15.75" thickTop="1" x14ac:dyDescent="0.25">
      <c r="A48" s="10"/>
      <c r="B48" s="10"/>
      <c r="C48" s="10"/>
      <c r="D48" s="11"/>
      <c r="E48" s="12"/>
      <c r="F48" s="10"/>
      <c r="G48" s="10"/>
      <c r="H48" s="12"/>
      <c r="I48" s="12"/>
      <c r="J48" s="13"/>
      <c r="K48" s="12"/>
      <c r="L48" s="12"/>
      <c r="M48" s="12"/>
      <c r="N48" s="12"/>
      <c r="O48" s="14"/>
      <c r="P48" s="12"/>
      <c r="Q48" s="15"/>
      <c r="R48" s="15"/>
      <c r="S48" s="10"/>
    </row>
    <row r="49" spans="1:19" x14ac:dyDescent="0.25">
      <c r="A49" s="10"/>
      <c r="B49" s="10"/>
      <c r="C49" s="10"/>
      <c r="D49" s="11"/>
      <c r="E49" s="12"/>
      <c r="F49" s="10"/>
      <c r="G49" s="10"/>
      <c r="H49" s="12"/>
      <c r="I49" s="12"/>
      <c r="J49" s="13"/>
      <c r="K49" s="12"/>
      <c r="L49" s="12"/>
      <c r="M49" s="12"/>
      <c r="N49" s="12"/>
      <c r="O49" s="14"/>
      <c r="P49" s="12"/>
      <c r="Q49" s="15"/>
      <c r="R49" s="15"/>
      <c r="S49" s="10"/>
    </row>
    <row r="50" spans="1:19" x14ac:dyDescent="0.25">
      <c r="A50" s="10" t="s">
        <v>1423</v>
      </c>
      <c r="B50" s="10" t="s">
        <v>1424</v>
      </c>
      <c r="C50" s="10" t="s">
        <v>1425</v>
      </c>
      <c r="D50" s="11">
        <v>45195</v>
      </c>
      <c r="E50" s="12">
        <v>660000</v>
      </c>
      <c r="F50" s="10" t="s">
        <v>22</v>
      </c>
      <c r="G50" s="10" t="s">
        <v>23</v>
      </c>
      <c r="H50" s="12">
        <v>660000</v>
      </c>
      <c r="I50" s="12">
        <v>303020</v>
      </c>
      <c r="J50" s="13">
        <f t="shared" ref="J50:J71" si="10">I50/H50*100</f>
        <v>45.912121212121207</v>
      </c>
      <c r="K50" s="12">
        <v>606046</v>
      </c>
      <c r="L50" s="12">
        <f>H50-400791</f>
        <v>259209</v>
      </c>
      <c r="M50" s="12">
        <v>205255</v>
      </c>
      <c r="N50" s="12">
        <f t="shared" ref="N50:N71" si="11">E50*0.2</f>
        <v>132000</v>
      </c>
      <c r="O50" s="14">
        <v>0.496</v>
      </c>
      <c r="P50" s="12">
        <f t="shared" ref="P50:P71" si="12">L50/O50</f>
        <v>522598.79032258067</v>
      </c>
      <c r="Q50" s="15">
        <f t="shared" ref="Q50:Q71" si="13">L50/O50/43560</f>
        <v>11.997217408691016</v>
      </c>
      <c r="R50" s="15">
        <f t="shared" ref="R50:R71" si="14">M50/O50/43560</f>
        <v>9.5000129595070941</v>
      </c>
      <c r="S50" s="10" t="s">
        <v>24</v>
      </c>
    </row>
    <row r="51" spans="1:19" x14ac:dyDescent="0.25">
      <c r="A51" s="10" t="s">
        <v>1426</v>
      </c>
      <c r="B51" s="10" t="s">
        <v>1427</v>
      </c>
      <c r="C51" s="10" t="s">
        <v>1425</v>
      </c>
      <c r="D51" s="11">
        <v>45273</v>
      </c>
      <c r="E51" s="12">
        <v>849000</v>
      </c>
      <c r="F51" s="10" t="s">
        <v>22</v>
      </c>
      <c r="G51" s="10" t="s">
        <v>23</v>
      </c>
      <c r="H51" s="12">
        <v>849000</v>
      </c>
      <c r="I51" s="12">
        <v>307020</v>
      </c>
      <c r="J51" s="13">
        <f t="shared" si="10"/>
        <v>36.162544169611301</v>
      </c>
      <c r="K51" s="12">
        <v>614041</v>
      </c>
      <c r="L51" s="12">
        <f>H51-424098</f>
        <v>424902</v>
      </c>
      <c r="M51" s="12">
        <v>189943</v>
      </c>
      <c r="N51" s="12">
        <f t="shared" si="11"/>
        <v>169800</v>
      </c>
      <c r="O51" s="14">
        <v>0.45900000000000002</v>
      </c>
      <c r="P51" s="12">
        <f t="shared" si="12"/>
        <v>925712.41830065357</v>
      </c>
      <c r="Q51" s="15">
        <f t="shared" si="13"/>
        <v>21.25143292701225</v>
      </c>
      <c r="R51" s="15">
        <f t="shared" si="14"/>
        <v>9.4999809943363118</v>
      </c>
      <c r="S51" s="10" t="s">
        <v>24</v>
      </c>
    </row>
    <row r="52" spans="1:19" x14ac:dyDescent="0.25">
      <c r="A52" s="10" t="s">
        <v>1428</v>
      </c>
      <c r="B52" s="10" t="s">
        <v>1429</v>
      </c>
      <c r="C52" s="10" t="s">
        <v>1425</v>
      </c>
      <c r="D52" s="11">
        <v>45722</v>
      </c>
      <c r="E52" s="12">
        <v>1013000</v>
      </c>
      <c r="F52" s="10" t="s">
        <v>29</v>
      </c>
      <c r="G52" s="10" t="s">
        <v>23</v>
      </c>
      <c r="H52" s="12">
        <v>1013000</v>
      </c>
      <c r="I52" s="12">
        <v>499980</v>
      </c>
      <c r="J52" s="13">
        <f t="shared" si="10"/>
        <v>49.356367226061202</v>
      </c>
      <c r="K52" s="12">
        <v>999951</v>
      </c>
      <c r="L52" s="12">
        <f>H52-810008</f>
        <v>202992</v>
      </c>
      <c r="M52" s="12">
        <v>189943</v>
      </c>
      <c r="N52" s="12">
        <f t="shared" si="11"/>
        <v>202600</v>
      </c>
      <c r="O52" s="14">
        <v>0.45900000000000002</v>
      </c>
      <c r="P52" s="12">
        <f t="shared" si="12"/>
        <v>442248.36601307185</v>
      </c>
      <c r="Q52" s="15">
        <f t="shared" si="13"/>
        <v>10.152625482393752</v>
      </c>
      <c r="R52" s="15">
        <f t="shared" si="14"/>
        <v>9.4999809943363118</v>
      </c>
      <c r="S52" s="10" t="s">
        <v>24</v>
      </c>
    </row>
    <row r="53" spans="1:19" x14ac:dyDescent="0.25">
      <c r="A53" s="10" t="s">
        <v>1430</v>
      </c>
      <c r="B53" s="10" t="s">
        <v>1431</v>
      </c>
      <c r="C53" s="10" t="s">
        <v>1425</v>
      </c>
      <c r="D53" s="11">
        <v>45551</v>
      </c>
      <c r="E53" s="12">
        <v>1150000</v>
      </c>
      <c r="F53" s="10" t="s">
        <v>22</v>
      </c>
      <c r="G53" s="10" t="s">
        <v>23</v>
      </c>
      <c r="H53" s="12">
        <v>1150000</v>
      </c>
      <c r="I53" s="12">
        <v>421990</v>
      </c>
      <c r="J53" s="13">
        <f t="shared" si="10"/>
        <v>36.694782608695654</v>
      </c>
      <c r="K53" s="12">
        <v>843984</v>
      </c>
      <c r="L53" s="12">
        <f>H53-637902</f>
        <v>512098</v>
      </c>
      <c r="M53" s="12">
        <v>206082</v>
      </c>
      <c r="N53" s="12">
        <f t="shared" si="11"/>
        <v>230000</v>
      </c>
      <c r="O53" s="14">
        <v>0.498</v>
      </c>
      <c r="P53" s="12">
        <f t="shared" si="12"/>
        <v>1028309.2369477912</v>
      </c>
      <c r="Q53" s="15">
        <f t="shared" si="13"/>
        <v>23.606731794026427</v>
      </c>
      <c r="R53" s="15">
        <f t="shared" si="14"/>
        <v>9.4999834046931522</v>
      </c>
      <c r="S53" s="10" t="s">
        <v>24</v>
      </c>
    </row>
    <row r="54" spans="1:19" x14ac:dyDescent="0.25">
      <c r="A54" s="10" t="s">
        <v>1432</v>
      </c>
      <c r="B54" s="10" t="s">
        <v>1433</v>
      </c>
      <c r="C54" s="10" t="s">
        <v>1425</v>
      </c>
      <c r="D54" s="11">
        <v>45306</v>
      </c>
      <c r="E54" s="12">
        <v>1420000</v>
      </c>
      <c r="F54" s="10" t="s">
        <v>29</v>
      </c>
      <c r="G54" s="10" t="s">
        <v>23</v>
      </c>
      <c r="H54" s="12">
        <v>1420000</v>
      </c>
      <c r="I54" s="12">
        <v>596590</v>
      </c>
      <c r="J54" s="13">
        <f t="shared" si="10"/>
        <v>42.013380281690146</v>
      </c>
      <c r="K54" s="12">
        <v>1193185</v>
      </c>
      <c r="L54" s="12">
        <f>H54-956240</f>
        <v>463760</v>
      </c>
      <c r="M54" s="12">
        <v>236945</v>
      </c>
      <c r="N54" s="12">
        <f t="shared" si="11"/>
        <v>284000</v>
      </c>
      <c r="O54" s="14">
        <v>0.69699999999999995</v>
      </c>
      <c r="P54" s="12">
        <f t="shared" si="12"/>
        <v>665365.85365853668</v>
      </c>
      <c r="Q54" s="15">
        <f t="shared" si="13"/>
        <v>15.274698201527473</v>
      </c>
      <c r="R54" s="15">
        <f t="shared" si="14"/>
        <v>7.8041732045905778</v>
      </c>
      <c r="S54" s="10" t="s">
        <v>24</v>
      </c>
    </row>
    <row r="55" spans="1:19" x14ac:dyDescent="0.25">
      <c r="A55" s="10" t="s">
        <v>1434</v>
      </c>
      <c r="B55" s="10" t="s">
        <v>1435</v>
      </c>
      <c r="C55" s="10" t="s">
        <v>1425</v>
      </c>
      <c r="D55" s="11">
        <v>45465</v>
      </c>
      <c r="E55" s="12">
        <v>802000</v>
      </c>
      <c r="F55" s="10" t="s">
        <v>22</v>
      </c>
      <c r="G55" s="10" t="s">
        <v>23</v>
      </c>
      <c r="H55" s="12">
        <v>802000</v>
      </c>
      <c r="I55" s="12">
        <v>426340</v>
      </c>
      <c r="J55" s="13">
        <f t="shared" si="10"/>
        <v>53.159600997506232</v>
      </c>
      <c r="K55" s="12">
        <v>852688</v>
      </c>
      <c r="L55" s="12">
        <f>H55-608425</f>
        <v>193575</v>
      </c>
      <c r="M55" s="12">
        <v>244263</v>
      </c>
      <c r="N55" s="12">
        <f t="shared" si="11"/>
        <v>160400</v>
      </c>
      <c r="O55" s="14">
        <v>0.745</v>
      </c>
      <c r="P55" s="12">
        <f t="shared" si="12"/>
        <v>259832.21476510068</v>
      </c>
      <c r="Q55" s="15">
        <f t="shared" si="13"/>
        <v>5.9649268770684269</v>
      </c>
      <c r="R55" s="15">
        <f t="shared" si="14"/>
        <v>7.5268548819494514</v>
      </c>
      <c r="S55" s="10" t="s">
        <v>24</v>
      </c>
    </row>
    <row r="56" spans="1:19" x14ac:dyDescent="0.25">
      <c r="A56" s="10" t="s">
        <v>1434</v>
      </c>
      <c r="B56" s="10" t="s">
        <v>1435</v>
      </c>
      <c r="C56" s="10" t="s">
        <v>1425</v>
      </c>
      <c r="D56" s="11">
        <v>45464</v>
      </c>
      <c r="E56" s="12">
        <v>802000</v>
      </c>
      <c r="F56" s="10" t="s">
        <v>29</v>
      </c>
      <c r="G56" s="10" t="s">
        <v>23</v>
      </c>
      <c r="H56" s="12">
        <v>802000</v>
      </c>
      <c r="I56" s="12">
        <v>426340</v>
      </c>
      <c r="J56" s="13">
        <f t="shared" si="10"/>
        <v>53.159600997506232</v>
      </c>
      <c r="K56" s="12">
        <v>852688</v>
      </c>
      <c r="L56" s="12">
        <f>H56-608425</f>
        <v>193575</v>
      </c>
      <c r="M56" s="12">
        <v>244263</v>
      </c>
      <c r="N56" s="12">
        <f t="shared" si="11"/>
        <v>160400</v>
      </c>
      <c r="O56" s="14">
        <v>0.745</v>
      </c>
      <c r="P56" s="12">
        <f t="shared" si="12"/>
        <v>259832.21476510068</v>
      </c>
      <c r="Q56" s="15">
        <f t="shared" si="13"/>
        <v>5.9649268770684269</v>
      </c>
      <c r="R56" s="15">
        <f t="shared" si="14"/>
        <v>7.5268548819494514</v>
      </c>
      <c r="S56" s="10" t="s">
        <v>24</v>
      </c>
    </row>
    <row r="57" spans="1:19" x14ac:dyDescent="0.25">
      <c r="A57" s="10" t="s">
        <v>1436</v>
      </c>
      <c r="B57" s="10" t="s">
        <v>1437</v>
      </c>
      <c r="C57" s="10" t="s">
        <v>1425</v>
      </c>
      <c r="D57" s="11">
        <v>45552</v>
      </c>
      <c r="E57" s="12">
        <v>1275000</v>
      </c>
      <c r="F57" s="10" t="s">
        <v>29</v>
      </c>
      <c r="G57" s="10" t="s">
        <v>23</v>
      </c>
      <c r="H57" s="12">
        <v>1275000</v>
      </c>
      <c r="I57" s="12">
        <v>464980</v>
      </c>
      <c r="J57" s="13">
        <f t="shared" si="10"/>
        <v>36.469019607843137</v>
      </c>
      <c r="K57" s="12">
        <v>929952</v>
      </c>
      <c r="L57" s="12">
        <f>H57-763082</f>
        <v>511918</v>
      </c>
      <c r="M57" s="12">
        <v>166870</v>
      </c>
      <c r="N57" s="12">
        <f t="shared" si="11"/>
        <v>255000</v>
      </c>
      <c r="O57" s="14">
        <v>0.51100000000000001</v>
      </c>
      <c r="P57" s="12">
        <f t="shared" si="12"/>
        <v>1001796.4774951076</v>
      </c>
      <c r="Q57" s="15">
        <f t="shared" si="13"/>
        <v>22.998082587123683</v>
      </c>
      <c r="R57" s="15">
        <f t="shared" si="14"/>
        <v>7.4966890035383189</v>
      </c>
      <c r="S57" s="10" t="s">
        <v>24</v>
      </c>
    </row>
    <row r="58" spans="1:19" x14ac:dyDescent="0.25">
      <c r="A58" s="10" t="s">
        <v>1438</v>
      </c>
      <c r="B58" s="10" t="s">
        <v>1439</v>
      </c>
      <c r="C58" s="10" t="s">
        <v>1425</v>
      </c>
      <c r="D58" s="11">
        <v>45163</v>
      </c>
      <c r="E58" s="12">
        <v>975000</v>
      </c>
      <c r="F58" s="10" t="s">
        <v>29</v>
      </c>
      <c r="G58" s="10" t="s">
        <v>23</v>
      </c>
      <c r="H58" s="12">
        <v>975000</v>
      </c>
      <c r="I58" s="12">
        <v>363350</v>
      </c>
      <c r="J58" s="13">
        <f t="shared" si="10"/>
        <v>37.266666666666666</v>
      </c>
      <c r="K58" s="12">
        <v>726698</v>
      </c>
      <c r="L58" s="12">
        <f>H58-542021</f>
        <v>432979</v>
      </c>
      <c r="M58" s="12">
        <v>184677</v>
      </c>
      <c r="N58" s="12">
        <f t="shared" si="11"/>
        <v>195000</v>
      </c>
      <c r="O58" s="14">
        <v>0.65700000000000003</v>
      </c>
      <c r="P58" s="12">
        <f t="shared" si="12"/>
        <v>659024.35312024353</v>
      </c>
      <c r="Q58" s="15">
        <f t="shared" si="13"/>
        <v>15.129117381089154</v>
      </c>
      <c r="R58" s="15">
        <f t="shared" si="14"/>
        <v>6.4529688751357499</v>
      </c>
      <c r="S58" s="10" t="s">
        <v>24</v>
      </c>
    </row>
    <row r="59" spans="1:19" x14ac:dyDescent="0.25">
      <c r="A59" s="10" t="s">
        <v>1440</v>
      </c>
      <c r="B59" s="10" t="s">
        <v>1441</v>
      </c>
      <c r="C59" s="10" t="s">
        <v>1425</v>
      </c>
      <c r="D59" s="11">
        <v>45520</v>
      </c>
      <c r="E59" s="12">
        <v>875000</v>
      </c>
      <c r="F59" s="10" t="s">
        <v>29</v>
      </c>
      <c r="G59" s="10" t="s">
        <v>23</v>
      </c>
      <c r="H59" s="12">
        <v>875000</v>
      </c>
      <c r="I59" s="12">
        <v>443860</v>
      </c>
      <c r="J59" s="13">
        <f t="shared" si="10"/>
        <v>50.726857142857142</v>
      </c>
      <c r="K59" s="12">
        <v>887722</v>
      </c>
      <c r="L59" s="12">
        <f>H59-701303</f>
        <v>173697</v>
      </c>
      <c r="M59" s="12">
        <v>186419</v>
      </c>
      <c r="N59" s="12">
        <f t="shared" si="11"/>
        <v>175000</v>
      </c>
      <c r="O59" s="14">
        <v>0.45</v>
      </c>
      <c r="P59" s="12">
        <f t="shared" si="12"/>
        <v>385993.33333333331</v>
      </c>
      <c r="Q59" s="15">
        <f t="shared" si="13"/>
        <v>8.8611876339149056</v>
      </c>
      <c r="R59" s="15">
        <f t="shared" si="14"/>
        <v>9.5102030405060702</v>
      </c>
      <c r="S59" s="10" t="s">
        <v>24</v>
      </c>
    </row>
    <row r="60" spans="1:19" x14ac:dyDescent="0.25">
      <c r="A60" s="10" t="s">
        <v>1442</v>
      </c>
      <c r="B60" s="10" t="s">
        <v>1443</v>
      </c>
      <c r="C60" s="10" t="s">
        <v>1425</v>
      </c>
      <c r="D60" s="11">
        <v>45152</v>
      </c>
      <c r="E60" s="12">
        <v>925000</v>
      </c>
      <c r="F60" s="10" t="s">
        <v>29</v>
      </c>
      <c r="G60" s="10" t="s">
        <v>23</v>
      </c>
      <c r="H60" s="12">
        <v>925000</v>
      </c>
      <c r="I60" s="12">
        <v>464660</v>
      </c>
      <c r="J60" s="13">
        <f t="shared" si="10"/>
        <v>50.233513513513515</v>
      </c>
      <c r="K60" s="12">
        <v>929314</v>
      </c>
      <c r="L60" s="12">
        <f>H60-709853</f>
        <v>215147</v>
      </c>
      <c r="M60" s="12">
        <v>219461</v>
      </c>
      <c r="N60" s="12">
        <f t="shared" si="11"/>
        <v>185000</v>
      </c>
      <c r="O60" s="14">
        <v>0.58199999999999996</v>
      </c>
      <c r="P60" s="12">
        <f t="shared" si="12"/>
        <v>369668.38487972511</v>
      </c>
      <c r="Q60" s="15">
        <f t="shared" si="13"/>
        <v>8.4864183856686211</v>
      </c>
      <c r="R60" s="15">
        <f t="shared" si="14"/>
        <v>8.6565830122531153</v>
      </c>
      <c r="S60" s="10" t="s">
        <v>24</v>
      </c>
    </row>
    <row r="61" spans="1:19" x14ac:dyDescent="0.25">
      <c r="A61" s="10" t="s">
        <v>1444</v>
      </c>
      <c r="B61" s="10" t="s">
        <v>1445</v>
      </c>
      <c r="C61" s="10" t="s">
        <v>1425</v>
      </c>
      <c r="D61" s="11">
        <v>45575</v>
      </c>
      <c r="E61" s="12">
        <v>800000</v>
      </c>
      <c r="F61" s="10" t="s">
        <v>22</v>
      </c>
      <c r="G61" s="10" t="s">
        <v>23</v>
      </c>
      <c r="H61" s="12">
        <v>800000</v>
      </c>
      <c r="I61" s="12">
        <v>386520</v>
      </c>
      <c r="J61" s="13">
        <f t="shared" si="10"/>
        <v>48.315000000000005</v>
      </c>
      <c r="K61" s="12">
        <v>773037</v>
      </c>
      <c r="L61" s="12">
        <f>H61-537903</f>
        <v>262097</v>
      </c>
      <c r="M61" s="12">
        <v>235134</v>
      </c>
      <c r="N61" s="12">
        <f t="shared" si="11"/>
        <v>160000</v>
      </c>
      <c r="O61" s="14">
        <v>0.68500000000000005</v>
      </c>
      <c r="P61" s="12">
        <f t="shared" si="12"/>
        <v>382623.35766423354</v>
      </c>
      <c r="Q61" s="15">
        <f t="shared" si="13"/>
        <v>8.7838236378382355</v>
      </c>
      <c r="R61" s="15">
        <f t="shared" si="14"/>
        <v>7.8801954515292261</v>
      </c>
      <c r="S61" s="10" t="s">
        <v>24</v>
      </c>
    </row>
    <row r="62" spans="1:19" x14ac:dyDescent="0.25">
      <c r="A62" s="10" t="s">
        <v>1446</v>
      </c>
      <c r="B62" s="10" t="s">
        <v>1447</v>
      </c>
      <c r="C62" s="10" t="s">
        <v>1425</v>
      </c>
      <c r="D62" s="11">
        <v>45531</v>
      </c>
      <c r="E62" s="12">
        <v>980000</v>
      </c>
      <c r="F62" s="10" t="s">
        <v>22</v>
      </c>
      <c r="G62" s="10" t="s">
        <v>23</v>
      </c>
      <c r="H62" s="12">
        <v>980000</v>
      </c>
      <c r="I62" s="12">
        <v>400270</v>
      </c>
      <c r="J62" s="13">
        <f t="shared" si="10"/>
        <v>40.843877551020405</v>
      </c>
      <c r="K62" s="12">
        <v>800543</v>
      </c>
      <c r="L62" s="12">
        <f>H62-590878</f>
        <v>389122</v>
      </c>
      <c r="M62" s="12">
        <v>209665</v>
      </c>
      <c r="N62" s="12">
        <f t="shared" si="11"/>
        <v>196000</v>
      </c>
      <c r="O62" s="14">
        <v>0.51800000000000002</v>
      </c>
      <c r="P62" s="12">
        <f t="shared" si="12"/>
        <v>751200.77220077219</v>
      </c>
      <c r="Q62" s="15">
        <f t="shared" si="13"/>
        <v>17.245196790651335</v>
      </c>
      <c r="R62" s="15">
        <f t="shared" si="14"/>
        <v>9.2919808828899733</v>
      </c>
      <c r="S62" s="10" t="s">
        <v>24</v>
      </c>
    </row>
    <row r="63" spans="1:19" x14ac:dyDescent="0.25">
      <c r="A63" s="10" t="s">
        <v>1448</v>
      </c>
      <c r="B63" s="10" t="s">
        <v>1449</v>
      </c>
      <c r="C63" s="10" t="s">
        <v>1425</v>
      </c>
      <c r="D63" s="11">
        <v>45488</v>
      </c>
      <c r="E63" s="12">
        <v>875000</v>
      </c>
      <c r="F63" s="10" t="s">
        <v>22</v>
      </c>
      <c r="G63" s="10" t="s">
        <v>23</v>
      </c>
      <c r="H63" s="12">
        <v>875000</v>
      </c>
      <c r="I63" s="12">
        <v>362820</v>
      </c>
      <c r="J63" s="13">
        <f t="shared" si="10"/>
        <v>41.465142857142858</v>
      </c>
      <c r="K63" s="12">
        <v>725640</v>
      </c>
      <c r="L63" s="12">
        <f>H63-516535</f>
        <v>358465</v>
      </c>
      <c r="M63" s="12">
        <v>209105</v>
      </c>
      <c r="N63" s="12">
        <f t="shared" si="11"/>
        <v>175000</v>
      </c>
      <c r="O63" s="14">
        <v>0.51400000000000001</v>
      </c>
      <c r="P63" s="12">
        <f t="shared" si="12"/>
        <v>697402.72373540851</v>
      </c>
      <c r="Q63" s="15">
        <f t="shared" si="13"/>
        <v>16.010163538462088</v>
      </c>
      <c r="R63" s="15">
        <f t="shared" si="14"/>
        <v>9.3392806737341569</v>
      </c>
      <c r="S63" s="10" t="s">
        <v>24</v>
      </c>
    </row>
    <row r="64" spans="1:19" x14ac:dyDescent="0.25">
      <c r="A64" s="10" t="s">
        <v>1450</v>
      </c>
      <c r="B64" s="10" t="s">
        <v>1451</v>
      </c>
      <c r="C64" s="10" t="s">
        <v>1425</v>
      </c>
      <c r="D64" s="11">
        <v>45197</v>
      </c>
      <c r="E64" s="12">
        <v>755000</v>
      </c>
      <c r="F64" s="10" t="s">
        <v>29</v>
      </c>
      <c r="G64" s="10" t="s">
        <v>23</v>
      </c>
      <c r="H64" s="12">
        <v>755000</v>
      </c>
      <c r="I64" s="12">
        <v>358430</v>
      </c>
      <c r="J64" s="13">
        <f t="shared" si="10"/>
        <v>47.474172185430461</v>
      </c>
      <c r="K64" s="12">
        <v>716856</v>
      </c>
      <c r="L64" s="12">
        <f>H64-466168</f>
        <v>288832</v>
      </c>
      <c r="M64" s="12">
        <v>250688</v>
      </c>
      <c r="N64" s="12">
        <f t="shared" si="11"/>
        <v>151000</v>
      </c>
      <c r="O64" s="14">
        <v>0.88</v>
      </c>
      <c r="P64" s="12">
        <f t="shared" si="12"/>
        <v>328218.18181818182</v>
      </c>
      <c r="Q64" s="15">
        <f t="shared" si="13"/>
        <v>7.5348526588196014</v>
      </c>
      <c r="R64" s="15">
        <f t="shared" si="14"/>
        <v>6.5397779447366231</v>
      </c>
      <c r="S64" s="10" t="s">
        <v>24</v>
      </c>
    </row>
    <row r="65" spans="1:19" x14ac:dyDescent="0.25">
      <c r="A65" s="10" t="s">
        <v>1452</v>
      </c>
      <c r="B65" s="10" t="s">
        <v>1453</v>
      </c>
      <c r="C65" s="10" t="s">
        <v>1425</v>
      </c>
      <c r="D65" s="11">
        <v>45349</v>
      </c>
      <c r="E65" s="12">
        <v>700000</v>
      </c>
      <c r="F65" s="10" t="s">
        <v>22</v>
      </c>
      <c r="G65" s="10" t="s">
        <v>23</v>
      </c>
      <c r="H65" s="12">
        <v>700000</v>
      </c>
      <c r="I65" s="12">
        <v>343090</v>
      </c>
      <c r="J65" s="13">
        <f t="shared" si="10"/>
        <v>49.012857142857143</v>
      </c>
      <c r="K65" s="12">
        <v>686184</v>
      </c>
      <c r="L65" s="12">
        <f>H65-473328</f>
        <v>226672</v>
      </c>
      <c r="M65" s="12">
        <v>212856</v>
      </c>
      <c r="N65" s="12">
        <f t="shared" si="11"/>
        <v>140000</v>
      </c>
      <c r="O65" s="14">
        <v>0.53900000000000003</v>
      </c>
      <c r="P65" s="12">
        <f t="shared" si="12"/>
        <v>420541.74397031538</v>
      </c>
      <c r="Q65" s="15">
        <f t="shared" si="13"/>
        <v>9.6543100085012714</v>
      </c>
      <c r="R65" s="15">
        <f t="shared" si="14"/>
        <v>9.0658652642123716</v>
      </c>
      <c r="S65" s="10" t="s">
        <v>24</v>
      </c>
    </row>
    <row r="66" spans="1:19" x14ac:dyDescent="0.25">
      <c r="A66" s="10" t="s">
        <v>1454</v>
      </c>
      <c r="B66" s="10" t="s">
        <v>1455</v>
      </c>
      <c r="C66" s="10" t="s">
        <v>1425</v>
      </c>
      <c r="D66" s="11">
        <v>45702</v>
      </c>
      <c r="E66" s="12">
        <v>1110000</v>
      </c>
      <c r="F66" s="10" t="s">
        <v>29</v>
      </c>
      <c r="G66" s="10" t="s">
        <v>23</v>
      </c>
      <c r="H66" s="12">
        <v>1110000</v>
      </c>
      <c r="I66" s="12">
        <v>418450</v>
      </c>
      <c r="J66" s="13">
        <f t="shared" si="10"/>
        <v>37.698198198198199</v>
      </c>
      <c r="K66" s="12">
        <v>836899</v>
      </c>
      <c r="L66" s="12">
        <f>H66-642817</f>
        <v>467183</v>
      </c>
      <c r="M66" s="12">
        <v>194082</v>
      </c>
      <c r="N66" s="12">
        <f t="shared" si="11"/>
        <v>222000</v>
      </c>
      <c r="O66" s="14">
        <v>0.46899999999999997</v>
      </c>
      <c r="P66" s="12">
        <f t="shared" si="12"/>
        <v>996125.79957356083</v>
      </c>
      <c r="Q66" s="15">
        <f t="shared" si="13"/>
        <v>22.867901734930228</v>
      </c>
      <c r="R66" s="15">
        <f t="shared" si="14"/>
        <v>9.5000205583652004</v>
      </c>
      <c r="S66" s="10" t="s">
        <v>24</v>
      </c>
    </row>
    <row r="67" spans="1:19" x14ac:dyDescent="0.25">
      <c r="A67" s="10" t="s">
        <v>1456</v>
      </c>
      <c r="B67" s="10" t="s">
        <v>1457</v>
      </c>
      <c r="C67" s="10" t="s">
        <v>1425</v>
      </c>
      <c r="D67" s="11">
        <v>45064</v>
      </c>
      <c r="E67" s="12">
        <v>650000</v>
      </c>
      <c r="F67" s="10" t="s">
        <v>22</v>
      </c>
      <c r="G67" s="10" t="s">
        <v>23</v>
      </c>
      <c r="H67" s="12">
        <v>650000</v>
      </c>
      <c r="I67" s="12">
        <v>310460</v>
      </c>
      <c r="J67" s="13">
        <f t="shared" si="10"/>
        <v>47.763076923076923</v>
      </c>
      <c r="K67" s="12">
        <v>620929</v>
      </c>
      <c r="L67" s="12">
        <f>H67-423206</f>
        <v>226794</v>
      </c>
      <c r="M67" s="12">
        <v>197723</v>
      </c>
      <c r="N67" s="12">
        <f t="shared" si="11"/>
        <v>130000</v>
      </c>
      <c r="O67" s="14">
        <v>0.50800000000000001</v>
      </c>
      <c r="P67" s="12">
        <f t="shared" si="12"/>
        <v>446444.88188976375</v>
      </c>
      <c r="Q67" s="15">
        <f t="shared" si="13"/>
        <v>10.248964230710831</v>
      </c>
      <c r="R67" s="15">
        <f t="shared" si="14"/>
        <v>8.9352273631085364</v>
      </c>
      <c r="S67" s="10" t="s">
        <v>24</v>
      </c>
    </row>
    <row r="68" spans="1:19" x14ac:dyDescent="0.25">
      <c r="A68" s="10" t="s">
        <v>1458</v>
      </c>
      <c r="B68" s="10" t="s">
        <v>1459</v>
      </c>
      <c r="C68" s="10" t="s">
        <v>1425</v>
      </c>
      <c r="D68" s="11">
        <v>45527</v>
      </c>
      <c r="E68" s="12">
        <v>822500</v>
      </c>
      <c r="F68" s="10" t="s">
        <v>29</v>
      </c>
      <c r="G68" s="10" t="s">
        <v>23</v>
      </c>
      <c r="H68" s="12">
        <v>822500</v>
      </c>
      <c r="I68" s="12">
        <v>365770</v>
      </c>
      <c r="J68" s="13">
        <f t="shared" si="10"/>
        <v>44.470516717325225</v>
      </c>
      <c r="K68" s="12">
        <v>731530</v>
      </c>
      <c r="L68" s="12">
        <f>H68-537035</f>
        <v>285465</v>
      </c>
      <c r="M68" s="12">
        <v>194495</v>
      </c>
      <c r="N68" s="12">
        <f t="shared" si="11"/>
        <v>164500</v>
      </c>
      <c r="O68" s="14">
        <v>0.47</v>
      </c>
      <c r="P68" s="12">
        <f t="shared" si="12"/>
        <v>607372.34042553196</v>
      </c>
      <c r="Q68" s="15">
        <f t="shared" si="13"/>
        <v>13.943350331164645</v>
      </c>
      <c r="R68" s="15">
        <f t="shared" si="14"/>
        <v>9.4999804622628599</v>
      </c>
      <c r="S68" s="10" t="s">
        <v>24</v>
      </c>
    </row>
    <row r="69" spans="1:19" x14ac:dyDescent="0.25">
      <c r="A69" s="10" t="s">
        <v>1460</v>
      </c>
      <c r="B69" s="10" t="s">
        <v>1461</v>
      </c>
      <c r="C69" s="10" t="s">
        <v>1425</v>
      </c>
      <c r="D69" s="11">
        <v>45121</v>
      </c>
      <c r="E69" s="12">
        <v>999900</v>
      </c>
      <c r="F69" s="10" t="s">
        <v>22</v>
      </c>
      <c r="G69" s="10" t="s">
        <v>23</v>
      </c>
      <c r="H69" s="12">
        <v>999900</v>
      </c>
      <c r="I69" s="12">
        <v>410620</v>
      </c>
      <c r="J69" s="13">
        <f t="shared" si="10"/>
        <v>41.066106610661066</v>
      </c>
      <c r="K69" s="12">
        <v>821243</v>
      </c>
      <c r="L69" s="12">
        <f>H69-626334</f>
        <v>373566</v>
      </c>
      <c r="M69" s="12">
        <v>194909</v>
      </c>
      <c r="N69" s="12">
        <f t="shared" si="11"/>
        <v>199980</v>
      </c>
      <c r="O69" s="14">
        <v>0.47099999999999997</v>
      </c>
      <c r="P69" s="12">
        <f t="shared" si="12"/>
        <v>793133.75796178344</v>
      </c>
      <c r="Q69" s="15">
        <f t="shared" si="13"/>
        <v>18.207845683236535</v>
      </c>
      <c r="R69" s="15">
        <f t="shared" si="14"/>
        <v>9.4999892770593402</v>
      </c>
      <c r="S69" s="10" t="s">
        <v>24</v>
      </c>
    </row>
    <row r="70" spans="1:19" x14ac:dyDescent="0.25">
      <c r="A70" s="10" t="s">
        <v>1462</v>
      </c>
      <c r="B70" s="10" t="s">
        <v>1463</v>
      </c>
      <c r="C70" s="10" t="s">
        <v>1425</v>
      </c>
      <c r="D70" s="11">
        <v>45275</v>
      </c>
      <c r="E70" s="12">
        <v>875000</v>
      </c>
      <c r="F70" s="10" t="s">
        <v>22</v>
      </c>
      <c r="G70" s="10" t="s">
        <v>23</v>
      </c>
      <c r="H70" s="12">
        <v>875000</v>
      </c>
      <c r="I70" s="12">
        <v>353050</v>
      </c>
      <c r="J70" s="13">
        <f t="shared" si="10"/>
        <v>40.348571428571425</v>
      </c>
      <c r="K70" s="12">
        <v>706092</v>
      </c>
      <c r="L70" s="12">
        <f>H70-512010</f>
        <v>362990</v>
      </c>
      <c r="M70" s="12">
        <v>194082</v>
      </c>
      <c r="N70" s="12">
        <f t="shared" si="11"/>
        <v>175000</v>
      </c>
      <c r="O70" s="14">
        <v>0.46899999999999997</v>
      </c>
      <c r="P70" s="12">
        <f t="shared" si="12"/>
        <v>773965.88486140734</v>
      </c>
      <c r="Q70" s="15">
        <f t="shared" si="13"/>
        <v>17.76781186550522</v>
      </c>
      <c r="R70" s="15">
        <f t="shared" si="14"/>
        <v>9.5000205583652004</v>
      </c>
      <c r="S70" s="10" t="s">
        <v>24</v>
      </c>
    </row>
    <row r="71" spans="1:19" x14ac:dyDescent="0.25">
      <c r="A71" s="10" t="s">
        <v>1464</v>
      </c>
      <c r="B71" s="10" t="s">
        <v>1465</v>
      </c>
      <c r="C71" s="10" t="s">
        <v>1425</v>
      </c>
      <c r="D71" s="11">
        <v>45264</v>
      </c>
      <c r="E71" s="12">
        <v>810000</v>
      </c>
      <c r="F71" s="10" t="s">
        <v>29</v>
      </c>
      <c r="G71" s="10" t="s">
        <v>23</v>
      </c>
      <c r="H71" s="12">
        <v>810000</v>
      </c>
      <c r="I71" s="12">
        <v>442430</v>
      </c>
      <c r="J71" s="13">
        <f t="shared" si="10"/>
        <v>54.620987654320984</v>
      </c>
      <c r="K71" s="12">
        <v>884859</v>
      </c>
      <c r="L71" s="12">
        <f>H71-690777</f>
        <v>119223</v>
      </c>
      <c r="M71" s="12">
        <v>194082</v>
      </c>
      <c r="N71" s="12">
        <f t="shared" si="11"/>
        <v>162000</v>
      </c>
      <c r="O71" s="14">
        <v>0.46899999999999997</v>
      </c>
      <c r="P71" s="12">
        <f t="shared" si="12"/>
        <v>254206.82302771858</v>
      </c>
      <c r="Q71" s="15">
        <f t="shared" si="13"/>
        <v>5.8357856526106193</v>
      </c>
      <c r="R71" s="15">
        <f t="shared" si="14"/>
        <v>9.5000205583652004</v>
      </c>
      <c r="S71" s="10" t="s">
        <v>24</v>
      </c>
    </row>
    <row r="72" spans="1:19" ht="15.75" thickBot="1" x14ac:dyDescent="0.3">
      <c r="A72" s="16"/>
      <c r="B72" s="16"/>
      <c r="C72" s="16"/>
      <c r="D72" s="17"/>
      <c r="E72" s="18"/>
      <c r="F72" s="16"/>
      <c r="G72" s="16"/>
      <c r="H72" s="18"/>
      <c r="I72" s="18"/>
      <c r="J72" s="19"/>
      <c r="K72" s="18"/>
      <c r="L72" s="18">
        <f>AVERAGE(L50:L71)</f>
        <v>315648.22727272729</v>
      </c>
      <c r="M72" s="18">
        <f>AVERAGE(M50:M71)</f>
        <v>207315.54545454544</v>
      </c>
      <c r="N72" s="18">
        <f>AVERAGE(N50:N71)</f>
        <v>182940</v>
      </c>
      <c r="O72" s="20"/>
      <c r="P72" s="18"/>
      <c r="Q72" s="21">
        <f>AVERAGE(Q50:Q71)</f>
        <v>13.53578962218249</v>
      </c>
      <c r="R72" s="21">
        <f>AVERAGE(R50:R71)</f>
        <v>8.7057565567011057</v>
      </c>
      <c r="S72" s="16"/>
    </row>
    <row r="73" spans="1:19" ht="15.75" thickTop="1" x14ac:dyDescent="0.25">
      <c r="A73" s="10"/>
      <c r="B73" s="10"/>
      <c r="C73" s="10"/>
      <c r="D73" s="11"/>
      <c r="E73" s="12"/>
      <c r="F73" s="10"/>
      <c r="G73" s="10"/>
      <c r="H73" s="12"/>
      <c r="I73" s="12"/>
      <c r="J73" s="13"/>
      <c r="K73" s="12"/>
      <c r="L73" s="12"/>
      <c r="M73" s="12"/>
      <c r="N73" s="12"/>
      <c r="O73" s="14"/>
      <c r="P73" s="12"/>
      <c r="Q73" s="15"/>
      <c r="R73" s="15"/>
      <c r="S73" s="10"/>
    </row>
    <row r="74" spans="1:19" x14ac:dyDescent="0.25">
      <c r="A74" s="10"/>
      <c r="B74" s="10"/>
      <c r="C74" s="10"/>
      <c r="D74" s="11"/>
      <c r="E74" s="12"/>
      <c r="F74" s="10"/>
      <c r="G74" s="10"/>
      <c r="H74" s="12"/>
      <c r="I74" s="12"/>
      <c r="J74" s="13"/>
      <c r="K74" s="12"/>
      <c r="L74" s="12"/>
      <c r="M74" s="12"/>
      <c r="N74" s="12"/>
      <c r="O74" s="14"/>
      <c r="P74" s="12"/>
      <c r="Q74" s="15"/>
      <c r="R74" s="15"/>
      <c r="S74" s="10"/>
    </row>
    <row r="75" spans="1:19" x14ac:dyDescent="0.25">
      <c r="A75" s="10" t="s">
        <v>1466</v>
      </c>
      <c r="B75" s="10" t="s">
        <v>1467</v>
      </c>
      <c r="C75" s="10" t="s">
        <v>1468</v>
      </c>
      <c r="D75" s="11">
        <v>45653</v>
      </c>
      <c r="E75" s="12">
        <v>225000</v>
      </c>
      <c r="F75" s="10" t="s">
        <v>22</v>
      </c>
      <c r="G75" s="10" t="s">
        <v>23</v>
      </c>
      <c r="H75" s="12">
        <v>225000</v>
      </c>
      <c r="I75" s="12">
        <v>199790</v>
      </c>
      <c r="J75" s="13">
        <f t="shared" ref="J75:J80" si="15">I75/H75*100</f>
        <v>88.795555555555566</v>
      </c>
      <c r="K75" s="12">
        <v>399578</v>
      </c>
      <c r="L75" s="12">
        <f>H75-299578</f>
        <v>-74578</v>
      </c>
      <c r="M75" s="12">
        <v>100000</v>
      </c>
      <c r="N75" s="12">
        <f t="shared" ref="N75:N80" si="16">E75*0.2</f>
        <v>45000</v>
      </c>
      <c r="O75" s="14">
        <v>1</v>
      </c>
      <c r="P75" s="12">
        <f t="shared" ref="P75:P80" si="17">L75/O75</f>
        <v>-74578</v>
      </c>
      <c r="Q75" s="15">
        <f t="shared" ref="Q75:Q80" si="18">L75/O75/43560</f>
        <v>-1.7120752984389349</v>
      </c>
      <c r="R75" s="15">
        <f t="shared" ref="R75:R80" si="19">M75/O75/43560</f>
        <v>2.2956841138659319</v>
      </c>
      <c r="S75" s="10" t="s">
        <v>97</v>
      </c>
    </row>
    <row r="76" spans="1:19" x14ac:dyDescent="0.25">
      <c r="A76" s="10" t="s">
        <v>1469</v>
      </c>
      <c r="B76" s="10" t="s">
        <v>1470</v>
      </c>
      <c r="C76" s="10" t="s">
        <v>1468</v>
      </c>
      <c r="D76" s="11">
        <v>45461</v>
      </c>
      <c r="E76" s="12">
        <v>405000</v>
      </c>
      <c r="F76" s="10" t="s">
        <v>22</v>
      </c>
      <c r="G76" s="10" t="s">
        <v>23</v>
      </c>
      <c r="H76" s="12">
        <v>405000</v>
      </c>
      <c r="I76" s="12">
        <v>214260</v>
      </c>
      <c r="J76" s="13">
        <f t="shared" si="15"/>
        <v>52.903703703703705</v>
      </c>
      <c r="K76" s="12">
        <v>428525</v>
      </c>
      <c r="L76" s="12">
        <f>H76-328525</f>
        <v>76475</v>
      </c>
      <c r="M76" s="12">
        <v>100000</v>
      </c>
      <c r="N76" s="12">
        <f t="shared" si="16"/>
        <v>81000</v>
      </c>
      <c r="O76" s="14">
        <v>1</v>
      </c>
      <c r="P76" s="12">
        <f t="shared" si="17"/>
        <v>76475</v>
      </c>
      <c r="Q76" s="15">
        <f t="shared" si="18"/>
        <v>1.7556244260789715</v>
      </c>
      <c r="R76" s="15">
        <f t="shared" si="19"/>
        <v>2.2956841138659319</v>
      </c>
      <c r="S76" s="10" t="s">
        <v>97</v>
      </c>
    </row>
    <row r="77" spans="1:19" x14ac:dyDescent="0.25">
      <c r="A77" s="10" t="s">
        <v>1471</v>
      </c>
      <c r="B77" s="10" t="s">
        <v>1472</v>
      </c>
      <c r="C77" s="10" t="s">
        <v>1468</v>
      </c>
      <c r="D77" s="11">
        <v>45471</v>
      </c>
      <c r="E77" s="12">
        <v>495000</v>
      </c>
      <c r="F77" s="10" t="s">
        <v>29</v>
      </c>
      <c r="G77" s="10" t="s">
        <v>23</v>
      </c>
      <c r="H77" s="12">
        <v>495000</v>
      </c>
      <c r="I77" s="12">
        <v>198790</v>
      </c>
      <c r="J77" s="13">
        <f t="shared" si="15"/>
        <v>40.159595959595961</v>
      </c>
      <c r="K77" s="12">
        <v>397571</v>
      </c>
      <c r="L77" s="12">
        <f>H77-297571</f>
        <v>197429</v>
      </c>
      <c r="M77" s="12">
        <v>100000</v>
      </c>
      <c r="N77" s="12">
        <f t="shared" si="16"/>
        <v>99000</v>
      </c>
      <c r="O77" s="14">
        <v>1</v>
      </c>
      <c r="P77" s="12">
        <f t="shared" si="17"/>
        <v>197429</v>
      </c>
      <c r="Q77" s="15">
        <f t="shared" si="18"/>
        <v>4.5323461891643708</v>
      </c>
      <c r="R77" s="15">
        <f t="shared" si="19"/>
        <v>2.2956841138659319</v>
      </c>
      <c r="S77" s="10" t="s">
        <v>97</v>
      </c>
    </row>
    <row r="78" spans="1:19" x14ac:dyDescent="0.25">
      <c r="A78" s="10" t="s">
        <v>1473</v>
      </c>
      <c r="B78" s="10" t="s">
        <v>1474</v>
      </c>
      <c r="C78" s="10" t="s">
        <v>1468</v>
      </c>
      <c r="D78" s="11">
        <v>45673</v>
      </c>
      <c r="E78" s="12">
        <v>415000</v>
      </c>
      <c r="F78" s="10" t="s">
        <v>22</v>
      </c>
      <c r="G78" s="10" t="s">
        <v>23</v>
      </c>
      <c r="H78" s="12">
        <v>415000</v>
      </c>
      <c r="I78" s="12">
        <v>203660</v>
      </c>
      <c r="J78" s="13">
        <f t="shared" si="15"/>
        <v>49.074698795180723</v>
      </c>
      <c r="K78" s="12">
        <v>407323</v>
      </c>
      <c r="L78" s="12">
        <f>H78-307323</f>
        <v>107677</v>
      </c>
      <c r="M78" s="12">
        <v>100000</v>
      </c>
      <c r="N78" s="12">
        <f t="shared" si="16"/>
        <v>83000</v>
      </c>
      <c r="O78" s="14">
        <v>1</v>
      </c>
      <c r="P78" s="12">
        <f t="shared" si="17"/>
        <v>107677</v>
      </c>
      <c r="Q78" s="15">
        <f t="shared" si="18"/>
        <v>2.4719237832874197</v>
      </c>
      <c r="R78" s="15">
        <f t="shared" si="19"/>
        <v>2.2956841138659319</v>
      </c>
      <c r="S78" s="10" t="s">
        <v>97</v>
      </c>
    </row>
    <row r="79" spans="1:19" x14ac:dyDescent="0.25">
      <c r="A79" s="10" t="s">
        <v>1475</v>
      </c>
      <c r="B79" s="10" t="s">
        <v>1476</v>
      </c>
      <c r="C79" s="10" t="s">
        <v>1468</v>
      </c>
      <c r="D79" s="11">
        <v>45412</v>
      </c>
      <c r="E79" s="12">
        <v>487500</v>
      </c>
      <c r="F79" s="10" t="s">
        <v>22</v>
      </c>
      <c r="G79" s="10" t="s">
        <v>23</v>
      </c>
      <c r="H79" s="12">
        <v>487500</v>
      </c>
      <c r="I79" s="12">
        <v>226470</v>
      </c>
      <c r="J79" s="13">
        <f t="shared" si="15"/>
        <v>46.455384615384617</v>
      </c>
      <c r="K79" s="12">
        <v>452933</v>
      </c>
      <c r="L79" s="12">
        <f>H79-352933</f>
        <v>134567</v>
      </c>
      <c r="M79" s="12">
        <v>100000</v>
      </c>
      <c r="N79" s="12">
        <f t="shared" si="16"/>
        <v>97500</v>
      </c>
      <c r="O79" s="14">
        <v>1</v>
      </c>
      <c r="P79" s="12">
        <f t="shared" si="17"/>
        <v>134567</v>
      </c>
      <c r="Q79" s="15">
        <f t="shared" si="18"/>
        <v>3.0892332415059687</v>
      </c>
      <c r="R79" s="15">
        <f t="shared" si="19"/>
        <v>2.2956841138659319</v>
      </c>
      <c r="S79" s="10" t="s">
        <v>97</v>
      </c>
    </row>
    <row r="80" spans="1:19" x14ac:dyDescent="0.25">
      <c r="A80" s="10" t="s">
        <v>1477</v>
      </c>
      <c r="B80" s="10" t="s">
        <v>1478</v>
      </c>
      <c r="C80" s="10" t="s">
        <v>1468</v>
      </c>
      <c r="D80" s="11">
        <v>45054</v>
      </c>
      <c r="E80" s="12">
        <v>425000</v>
      </c>
      <c r="F80" s="10" t="s">
        <v>22</v>
      </c>
      <c r="G80" s="10" t="s">
        <v>23</v>
      </c>
      <c r="H80" s="12">
        <v>425000</v>
      </c>
      <c r="I80" s="12">
        <v>219210</v>
      </c>
      <c r="J80" s="13">
        <f t="shared" si="15"/>
        <v>51.578823529411764</v>
      </c>
      <c r="K80" s="12">
        <v>438427</v>
      </c>
      <c r="L80" s="12">
        <f>H80-338427</f>
        <v>86573</v>
      </c>
      <c r="M80" s="12">
        <v>100000</v>
      </c>
      <c r="N80" s="12">
        <f t="shared" si="16"/>
        <v>85000</v>
      </c>
      <c r="O80" s="14">
        <v>1</v>
      </c>
      <c r="P80" s="12">
        <f t="shared" si="17"/>
        <v>86573</v>
      </c>
      <c r="Q80" s="15">
        <f t="shared" si="18"/>
        <v>1.9874426078971534</v>
      </c>
      <c r="R80" s="15">
        <f t="shared" si="19"/>
        <v>2.2956841138659319</v>
      </c>
      <c r="S80" s="10" t="s">
        <v>97</v>
      </c>
    </row>
    <row r="81" spans="1:19" ht="15.75" thickBot="1" x14ac:dyDescent="0.3">
      <c r="A81" s="16"/>
      <c r="B81" s="16"/>
      <c r="C81" s="16"/>
      <c r="D81" s="17"/>
      <c r="E81" s="18"/>
      <c r="F81" s="16"/>
      <c r="G81" s="16"/>
      <c r="H81" s="18"/>
      <c r="I81" s="18"/>
      <c r="J81" s="19"/>
      <c r="K81" s="18"/>
      <c r="L81" s="18">
        <f>AVERAGE(L75:L80)</f>
        <v>88023.833333333328</v>
      </c>
      <c r="M81" s="18">
        <f>AVERAGE(M75:M80)</f>
        <v>100000</v>
      </c>
      <c r="N81" s="18">
        <f>AVERAGE(N75:N80)</f>
        <v>81750</v>
      </c>
      <c r="O81" s="20"/>
      <c r="P81" s="18"/>
      <c r="Q81" s="21">
        <f>AVERAGE(Q75:Q80)</f>
        <v>2.0207491582491581</v>
      </c>
      <c r="R81" s="21">
        <f>AVERAGE(R75:R80)</f>
        <v>2.2956841138659319</v>
      </c>
      <c r="S81" s="16"/>
    </row>
    <row r="82" spans="1:19" ht="15.75" thickTop="1" x14ac:dyDescent="0.25">
      <c r="A82" s="10"/>
      <c r="B82" s="10"/>
      <c r="C82" s="10"/>
      <c r="D82" s="11"/>
      <c r="E82" s="12"/>
      <c r="F82" s="10"/>
      <c r="G82" s="10"/>
      <c r="H82" s="12"/>
      <c r="I82" s="12"/>
      <c r="J82" s="13"/>
      <c r="K82" s="12"/>
      <c r="L82" s="12"/>
      <c r="M82" s="12"/>
      <c r="N82" s="12"/>
      <c r="O82" s="14"/>
      <c r="P82" s="12"/>
      <c r="Q82" s="15"/>
      <c r="R82" s="15"/>
      <c r="S82" s="10"/>
    </row>
    <row r="83" spans="1:19" x14ac:dyDescent="0.25">
      <c r="A83" s="10"/>
      <c r="B83" s="10"/>
      <c r="C83" s="10"/>
      <c r="D83" s="11"/>
      <c r="E83" s="12"/>
      <c r="F83" s="10"/>
      <c r="G83" s="10"/>
      <c r="H83" s="12"/>
      <c r="I83" s="12"/>
      <c r="J83" s="13"/>
      <c r="K83" s="12"/>
      <c r="L83" s="12"/>
      <c r="M83" s="12"/>
      <c r="N83" s="12"/>
      <c r="O83" s="14"/>
      <c r="P83" s="12"/>
      <c r="Q83" s="15"/>
      <c r="R83" s="15"/>
      <c r="S83" s="10"/>
    </row>
    <row r="84" spans="1:19" x14ac:dyDescent="0.25">
      <c r="A84" s="10" t="s">
        <v>1479</v>
      </c>
      <c r="B84" s="10" t="s">
        <v>1480</v>
      </c>
      <c r="C84" s="10" t="s">
        <v>1481</v>
      </c>
      <c r="D84" s="11">
        <v>45117</v>
      </c>
      <c r="E84" s="12">
        <v>125000</v>
      </c>
      <c r="F84" s="10" t="s">
        <v>22</v>
      </c>
      <c r="G84" s="10" t="s">
        <v>23</v>
      </c>
      <c r="H84" s="12">
        <v>125000</v>
      </c>
      <c r="I84" s="12">
        <v>65140</v>
      </c>
      <c r="J84" s="13">
        <f t="shared" ref="J84:J89" si="20">I84/H84*100</f>
        <v>52.112000000000002</v>
      </c>
      <c r="K84" s="12">
        <v>130283</v>
      </c>
      <c r="L84" s="12">
        <f>H84-91783</f>
        <v>33217</v>
      </c>
      <c r="M84" s="12">
        <v>38500</v>
      </c>
      <c r="N84" s="12">
        <f t="shared" ref="N84:N89" si="21">E84*0.2</f>
        <v>25000</v>
      </c>
      <c r="O84" s="14">
        <v>1</v>
      </c>
      <c r="P84" s="12">
        <f t="shared" ref="P84:P89" si="22">L84/O84</f>
        <v>33217</v>
      </c>
      <c r="Q84" s="15">
        <f t="shared" ref="Q84:Q89" si="23">L84/O84/43560</f>
        <v>0.76255739210284668</v>
      </c>
      <c r="R84" s="15">
        <f t="shared" ref="R84:R89" si="24">M84/O84/43560</f>
        <v>0.88383838383838387</v>
      </c>
      <c r="S84" s="10" t="s">
        <v>97</v>
      </c>
    </row>
    <row r="85" spans="1:19" x14ac:dyDescent="0.25">
      <c r="A85" s="10" t="s">
        <v>1482</v>
      </c>
      <c r="B85" s="10" t="s">
        <v>1483</v>
      </c>
      <c r="C85" s="10" t="s">
        <v>1481</v>
      </c>
      <c r="D85" s="11">
        <v>45657</v>
      </c>
      <c r="E85" s="12">
        <v>118000</v>
      </c>
      <c r="F85" s="10" t="s">
        <v>22</v>
      </c>
      <c r="G85" s="10" t="s">
        <v>23</v>
      </c>
      <c r="H85" s="12">
        <v>118000</v>
      </c>
      <c r="I85" s="12">
        <v>66130</v>
      </c>
      <c r="J85" s="13">
        <f t="shared" si="20"/>
        <v>56.042372881355931</v>
      </c>
      <c r="K85" s="12">
        <v>132261</v>
      </c>
      <c r="L85" s="12">
        <f>H85-93761</f>
        <v>24239</v>
      </c>
      <c r="M85" s="12">
        <v>38500</v>
      </c>
      <c r="N85" s="12">
        <f t="shared" si="21"/>
        <v>23600</v>
      </c>
      <c r="O85" s="14">
        <v>1</v>
      </c>
      <c r="P85" s="12">
        <f t="shared" si="22"/>
        <v>24239</v>
      </c>
      <c r="Q85" s="15">
        <f t="shared" si="23"/>
        <v>0.55645087235996327</v>
      </c>
      <c r="R85" s="15">
        <f t="shared" si="24"/>
        <v>0.88383838383838387</v>
      </c>
      <c r="S85" s="10" t="s">
        <v>97</v>
      </c>
    </row>
    <row r="86" spans="1:19" x14ac:dyDescent="0.25">
      <c r="A86" s="10" t="s">
        <v>1484</v>
      </c>
      <c r="B86" s="10" t="s">
        <v>1485</v>
      </c>
      <c r="C86" s="10" t="s">
        <v>1481</v>
      </c>
      <c r="D86" s="11">
        <v>45205</v>
      </c>
      <c r="E86" s="12">
        <v>175000</v>
      </c>
      <c r="F86" s="10" t="s">
        <v>22</v>
      </c>
      <c r="G86" s="10" t="s">
        <v>23</v>
      </c>
      <c r="H86" s="12">
        <v>175000</v>
      </c>
      <c r="I86" s="12">
        <v>80070</v>
      </c>
      <c r="J86" s="13">
        <f t="shared" si="20"/>
        <v>45.754285714285714</v>
      </c>
      <c r="K86" s="12">
        <v>160130</v>
      </c>
      <c r="L86" s="12">
        <f>H86-121630</f>
        <v>53370</v>
      </c>
      <c r="M86" s="12">
        <v>38500</v>
      </c>
      <c r="N86" s="12">
        <f t="shared" si="21"/>
        <v>35000</v>
      </c>
      <c r="O86" s="14">
        <v>1</v>
      </c>
      <c r="P86" s="12">
        <f t="shared" si="22"/>
        <v>53370</v>
      </c>
      <c r="Q86" s="15">
        <f t="shared" si="23"/>
        <v>1.225206611570248</v>
      </c>
      <c r="R86" s="15">
        <f t="shared" si="24"/>
        <v>0.88383838383838387</v>
      </c>
      <c r="S86" s="10" t="s">
        <v>97</v>
      </c>
    </row>
    <row r="87" spans="1:19" x14ac:dyDescent="0.25">
      <c r="A87" s="10" t="s">
        <v>1486</v>
      </c>
      <c r="B87" s="10" t="s">
        <v>1487</v>
      </c>
      <c r="C87" s="10" t="s">
        <v>1481</v>
      </c>
      <c r="D87" s="11">
        <v>45168</v>
      </c>
      <c r="E87" s="12">
        <v>185000</v>
      </c>
      <c r="F87" s="10" t="s">
        <v>22</v>
      </c>
      <c r="G87" s="10" t="s">
        <v>23</v>
      </c>
      <c r="H87" s="12">
        <v>185000</v>
      </c>
      <c r="I87" s="12">
        <v>80950</v>
      </c>
      <c r="J87" s="13">
        <f t="shared" si="20"/>
        <v>43.756756756756758</v>
      </c>
      <c r="K87" s="12">
        <v>161900</v>
      </c>
      <c r="L87" s="12">
        <f>H87-123400</f>
        <v>61600</v>
      </c>
      <c r="M87" s="12">
        <v>38500</v>
      </c>
      <c r="N87" s="12">
        <f t="shared" si="21"/>
        <v>37000</v>
      </c>
      <c r="O87" s="14">
        <v>1</v>
      </c>
      <c r="P87" s="12">
        <f t="shared" si="22"/>
        <v>61600</v>
      </c>
      <c r="Q87" s="15">
        <f t="shared" si="23"/>
        <v>1.4141414141414141</v>
      </c>
      <c r="R87" s="15">
        <f t="shared" si="24"/>
        <v>0.88383838383838387</v>
      </c>
      <c r="S87" s="10" t="s">
        <v>97</v>
      </c>
    </row>
    <row r="88" spans="1:19" x14ac:dyDescent="0.25">
      <c r="A88" s="10" t="s">
        <v>1488</v>
      </c>
      <c r="B88" s="10" t="s">
        <v>1489</v>
      </c>
      <c r="C88" s="10" t="s">
        <v>1481</v>
      </c>
      <c r="D88" s="11">
        <v>45350</v>
      </c>
      <c r="E88" s="12">
        <v>160000</v>
      </c>
      <c r="F88" s="10" t="s">
        <v>22</v>
      </c>
      <c r="G88" s="10" t="s">
        <v>23</v>
      </c>
      <c r="H88" s="12">
        <v>160000</v>
      </c>
      <c r="I88" s="12">
        <v>80950</v>
      </c>
      <c r="J88" s="13">
        <f t="shared" si="20"/>
        <v>50.593750000000007</v>
      </c>
      <c r="K88" s="12">
        <v>161900</v>
      </c>
      <c r="L88" s="12">
        <f>H88-123400</f>
        <v>36600</v>
      </c>
      <c r="M88" s="12">
        <v>38500</v>
      </c>
      <c r="N88" s="12">
        <f t="shared" si="21"/>
        <v>32000</v>
      </c>
      <c r="O88" s="14">
        <v>1</v>
      </c>
      <c r="P88" s="12">
        <f t="shared" si="22"/>
        <v>36600</v>
      </c>
      <c r="Q88" s="15">
        <f t="shared" si="23"/>
        <v>0.84022038567493118</v>
      </c>
      <c r="R88" s="15">
        <f t="shared" si="24"/>
        <v>0.88383838383838387</v>
      </c>
      <c r="S88" s="10" t="s">
        <v>97</v>
      </c>
    </row>
    <row r="89" spans="1:19" x14ac:dyDescent="0.25">
      <c r="A89" s="10" t="s">
        <v>1490</v>
      </c>
      <c r="B89" s="10" t="s">
        <v>1491</v>
      </c>
      <c r="C89" s="10" t="s">
        <v>1481</v>
      </c>
      <c r="D89" s="11">
        <v>45517</v>
      </c>
      <c r="E89" s="12">
        <v>160000</v>
      </c>
      <c r="F89" s="10" t="s">
        <v>22</v>
      </c>
      <c r="G89" s="10" t="s">
        <v>23</v>
      </c>
      <c r="H89" s="12">
        <v>160000</v>
      </c>
      <c r="I89" s="12">
        <v>79990</v>
      </c>
      <c r="J89" s="13">
        <f t="shared" si="20"/>
        <v>49.993749999999999</v>
      </c>
      <c r="K89" s="12">
        <v>159985</v>
      </c>
      <c r="L89" s="12">
        <f>H89-121485</f>
        <v>38515</v>
      </c>
      <c r="M89" s="12">
        <v>38500</v>
      </c>
      <c r="N89" s="12">
        <f t="shared" si="21"/>
        <v>32000</v>
      </c>
      <c r="O89" s="14">
        <v>1</v>
      </c>
      <c r="P89" s="12">
        <f t="shared" si="22"/>
        <v>38515</v>
      </c>
      <c r="Q89" s="15">
        <f t="shared" si="23"/>
        <v>0.88418273645546375</v>
      </c>
      <c r="R89" s="15">
        <f t="shared" si="24"/>
        <v>0.88383838383838387</v>
      </c>
      <c r="S89" s="10" t="s">
        <v>97</v>
      </c>
    </row>
    <row r="90" spans="1:19" ht="15.75" thickBot="1" x14ac:dyDescent="0.3">
      <c r="A90" s="16"/>
      <c r="B90" s="16"/>
      <c r="C90" s="16"/>
      <c r="D90" s="17"/>
      <c r="E90" s="18"/>
      <c r="F90" s="16"/>
      <c r="G90" s="16"/>
      <c r="H90" s="18"/>
      <c r="I90" s="18"/>
      <c r="J90" s="19"/>
      <c r="K90" s="18"/>
      <c r="L90" s="18">
        <f>AVERAGE(L84:L89)</f>
        <v>41256.833333333336</v>
      </c>
      <c r="M90" s="18">
        <f>AVERAGE(M84:M89)</f>
        <v>38500</v>
      </c>
      <c r="N90" s="18">
        <f>AVERAGE(N84:N89)</f>
        <v>30766.666666666668</v>
      </c>
      <c r="O90" s="20"/>
      <c r="P90" s="18"/>
      <c r="Q90" s="21">
        <f>AVERAGE(Q84:Q89)</f>
        <v>0.94712656871747791</v>
      </c>
      <c r="R90" s="21">
        <f>AVERAGE(R84:R89)</f>
        <v>0.88383838383838398</v>
      </c>
      <c r="S90" s="16"/>
    </row>
    <row r="91" spans="1:19" ht="15.75" thickTop="1" x14ac:dyDescent="0.25">
      <c r="A91" s="10"/>
      <c r="B91" s="10"/>
      <c r="C91" s="10"/>
      <c r="D91" s="11"/>
      <c r="E91" s="12"/>
      <c r="F91" s="10"/>
      <c r="G91" s="10"/>
      <c r="H91" s="12"/>
      <c r="I91" s="12"/>
      <c r="J91" s="13"/>
      <c r="K91" s="12"/>
      <c r="L91" s="12"/>
      <c r="M91" s="12"/>
      <c r="N91" s="12"/>
      <c r="O91" s="14"/>
      <c r="P91" s="12"/>
      <c r="Q91" s="15"/>
      <c r="R91" s="15"/>
      <c r="S91" s="10"/>
    </row>
    <row r="92" spans="1:19" x14ac:dyDescent="0.25">
      <c r="A92" s="10"/>
      <c r="B92" s="10"/>
      <c r="C92" s="10"/>
      <c r="D92" s="11"/>
      <c r="E92" s="12"/>
      <c r="F92" s="10"/>
      <c r="G92" s="10"/>
      <c r="H92" s="12"/>
      <c r="I92" s="12"/>
      <c r="J92" s="13"/>
      <c r="K92" s="12"/>
      <c r="L92" s="12"/>
      <c r="M92" s="12"/>
      <c r="N92" s="12"/>
      <c r="O92" s="14"/>
      <c r="P92" s="12"/>
      <c r="Q92" s="15"/>
      <c r="R92" s="15"/>
      <c r="S92" s="10"/>
    </row>
    <row r="93" spans="1:19" x14ac:dyDescent="0.25">
      <c r="A93" s="10" t="s">
        <v>1492</v>
      </c>
      <c r="B93" s="10" t="s">
        <v>1493</v>
      </c>
      <c r="C93" s="10" t="s">
        <v>1494</v>
      </c>
      <c r="D93" s="11">
        <v>45037</v>
      </c>
      <c r="E93" s="12">
        <v>158500</v>
      </c>
      <c r="F93" s="10" t="s">
        <v>22</v>
      </c>
      <c r="G93" s="10" t="s">
        <v>23</v>
      </c>
      <c r="H93" s="12">
        <v>158500</v>
      </c>
      <c r="I93" s="12">
        <v>67880</v>
      </c>
      <c r="J93" s="13">
        <f>I93/H93*100</f>
        <v>42.82649842271293</v>
      </c>
      <c r="K93" s="12">
        <v>135755</v>
      </c>
      <c r="L93" s="12">
        <f>H93-100755</f>
        <v>57745</v>
      </c>
      <c r="M93" s="12">
        <v>35000</v>
      </c>
      <c r="N93" s="12">
        <f>E93*0.2</f>
        <v>31700</v>
      </c>
      <c r="O93" s="14">
        <v>0</v>
      </c>
      <c r="P93" s="12" t="e">
        <f>L93/O93</f>
        <v>#DIV/0!</v>
      </c>
      <c r="Q93" s="15" t="e">
        <f>L93/O93/43560</f>
        <v>#DIV/0!</v>
      </c>
      <c r="R93" s="15" t="e">
        <f>M93/O93/43560</f>
        <v>#DIV/0!</v>
      </c>
      <c r="S93" s="10" t="s">
        <v>97</v>
      </c>
    </row>
    <row r="94" spans="1:19" x14ac:dyDescent="0.25">
      <c r="A94" s="10" t="s">
        <v>1495</v>
      </c>
      <c r="B94" s="10" t="s">
        <v>1496</v>
      </c>
      <c r="C94" s="10" t="s">
        <v>1494</v>
      </c>
      <c r="D94" s="11">
        <v>45712</v>
      </c>
      <c r="E94" s="12">
        <v>170000</v>
      </c>
      <c r="F94" s="10" t="s">
        <v>22</v>
      </c>
      <c r="G94" s="10" t="s">
        <v>23</v>
      </c>
      <c r="H94" s="12">
        <v>170000</v>
      </c>
      <c r="I94" s="12">
        <v>84090</v>
      </c>
      <c r="J94" s="13">
        <f>I94/H94*100</f>
        <v>49.464705882352938</v>
      </c>
      <c r="K94" s="12">
        <v>168173</v>
      </c>
      <c r="L94" s="12">
        <f>H94-133173</f>
        <v>36827</v>
      </c>
      <c r="M94" s="12">
        <v>35000</v>
      </c>
      <c r="N94" s="12">
        <f>E94*0.2</f>
        <v>34000</v>
      </c>
      <c r="O94" s="14">
        <v>0</v>
      </c>
      <c r="P94" s="12" t="e">
        <f>L94/O94</f>
        <v>#DIV/0!</v>
      </c>
      <c r="Q94" s="15" t="e">
        <f>L94/O94/43560</f>
        <v>#DIV/0!</v>
      </c>
      <c r="R94" s="15" t="e">
        <f>M94/O94/43560</f>
        <v>#DIV/0!</v>
      </c>
      <c r="S94" s="10" t="s">
        <v>97</v>
      </c>
    </row>
    <row r="95" spans="1:19" x14ac:dyDescent="0.25">
      <c r="A95" s="10" t="s">
        <v>1497</v>
      </c>
      <c r="B95" s="10" t="s">
        <v>1498</v>
      </c>
      <c r="C95" s="10" t="s">
        <v>1494</v>
      </c>
      <c r="D95" s="11">
        <v>45072</v>
      </c>
      <c r="E95" s="12">
        <v>150000</v>
      </c>
      <c r="F95" s="10" t="s">
        <v>29</v>
      </c>
      <c r="G95" s="10" t="s">
        <v>23</v>
      </c>
      <c r="H95" s="12">
        <v>150000</v>
      </c>
      <c r="I95" s="12">
        <v>65660</v>
      </c>
      <c r="J95" s="13">
        <f>I95/H95*100</f>
        <v>43.773333333333333</v>
      </c>
      <c r="K95" s="12">
        <v>131316</v>
      </c>
      <c r="L95" s="12">
        <f>H95-96316</f>
        <v>53684</v>
      </c>
      <c r="M95" s="12">
        <v>35000</v>
      </c>
      <c r="N95" s="12">
        <f>E95*0.2</f>
        <v>30000</v>
      </c>
      <c r="O95" s="14">
        <v>0</v>
      </c>
      <c r="P95" s="12" t="e">
        <f>L95/O95</f>
        <v>#DIV/0!</v>
      </c>
      <c r="Q95" s="15" t="e">
        <f>L95/O95/43560</f>
        <v>#DIV/0!</v>
      </c>
      <c r="R95" s="15" t="e">
        <f>M95/O95/43560</f>
        <v>#DIV/0!</v>
      </c>
      <c r="S95" s="10" t="s">
        <v>97</v>
      </c>
    </row>
    <row r="96" spans="1:19" x14ac:dyDescent="0.25">
      <c r="A96" s="10" t="s">
        <v>1499</v>
      </c>
      <c r="B96" s="10" t="s">
        <v>1500</v>
      </c>
      <c r="C96" s="10" t="s">
        <v>1494</v>
      </c>
      <c r="D96" s="11">
        <v>45657</v>
      </c>
      <c r="E96" s="12">
        <v>118000</v>
      </c>
      <c r="F96" s="10" t="s">
        <v>29</v>
      </c>
      <c r="G96" s="10" t="s">
        <v>23</v>
      </c>
      <c r="H96" s="12">
        <v>118000</v>
      </c>
      <c r="I96" s="12">
        <v>56460</v>
      </c>
      <c r="J96" s="13">
        <f>I96/H96*100</f>
        <v>47.847457627118644</v>
      </c>
      <c r="K96" s="12">
        <v>112915</v>
      </c>
      <c r="L96" s="12">
        <f>H96-77915</f>
        <v>40085</v>
      </c>
      <c r="M96" s="12">
        <v>35000</v>
      </c>
      <c r="N96" s="12">
        <f>E96*0.2</f>
        <v>23600</v>
      </c>
      <c r="O96" s="14">
        <v>0</v>
      </c>
      <c r="P96" s="12" t="e">
        <f>L96/O96</f>
        <v>#DIV/0!</v>
      </c>
      <c r="Q96" s="15" t="e">
        <f>L96/O96/43560</f>
        <v>#DIV/0!</v>
      </c>
      <c r="R96" s="15" t="e">
        <f>M96/O96/43560</f>
        <v>#DIV/0!</v>
      </c>
      <c r="S96" s="10" t="s">
        <v>97</v>
      </c>
    </row>
    <row r="97" spans="1:19" ht="15.75" thickBot="1" x14ac:dyDescent="0.3">
      <c r="A97" s="16"/>
      <c r="B97" s="16"/>
      <c r="C97" s="16"/>
      <c r="D97" s="17"/>
      <c r="E97" s="18"/>
      <c r="F97" s="16"/>
      <c r="G97" s="16"/>
      <c r="H97" s="18"/>
      <c r="I97" s="18"/>
      <c r="J97" s="19"/>
      <c r="K97" s="18"/>
      <c r="L97" s="18">
        <f>AVERAGE(L93:L96)</f>
        <v>47085.25</v>
      </c>
      <c r="M97" s="18">
        <f>AVERAGE(M93:M96)</f>
        <v>35000</v>
      </c>
      <c r="N97" s="18">
        <f>AVERAGE(N93:N96)</f>
        <v>29825</v>
      </c>
      <c r="O97" s="20"/>
      <c r="P97" s="18"/>
      <c r="Q97" s="21"/>
      <c r="R97" s="21"/>
      <c r="S97" s="16"/>
    </row>
    <row r="98" spans="1:19" ht="15.75" thickTop="1" x14ac:dyDescent="0.25">
      <c r="A98" s="10"/>
      <c r="B98" s="10"/>
      <c r="C98" s="10"/>
      <c r="D98" s="11"/>
      <c r="E98" s="12"/>
      <c r="F98" s="10"/>
      <c r="G98" s="10"/>
      <c r="H98" s="12"/>
      <c r="I98" s="12"/>
      <c r="J98" s="13"/>
      <c r="K98" s="12"/>
      <c r="L98" s="12"/>
      <c r="M98" s="12"/>
      <c r="N98" s="12"/>
      <c r="O98" s="14"/>
      <c r="P98" s="12"/>
      <c r="Q98" s="15"/>
      <c r="R98" s="15"/>
      <c r="S98" s="10"/>
    </row>
    <row r="99" spans="1:19" x14ac:dyDescent="0.25">
      <c r="A99" s="10"/>
      <c r="B99" s="10"/>
      <c r="C99" s="10"/>
      <c r="D99" s="11"/>
      <c r="E99" s="12"/>
      <c r="F99" s="10"/>
      <c r="G99" s="10"/>
      <c r="H99" s="12"/>
      <c r="I99" s="12"/>
      <c r="J99" s="13"/>
      <c r="K99" s="12"/>
      <c r="L99" s="12"/>
      <c r="M99" s="12"/>
      <c r="N99" s="12"/>
      <c r="O99" s="14"/>
      <c r="P99" s="12"/>
      <c r="Q99" s="15"/>
      <c r="R99" s="15"/>
      <c r="S99" s="10"/>
    </row>
    <row r="100" spans="1:19" x14ac:dyDescent="0.25">
      <c r="A100" s="10" t="s">
        <v>1501</v>
      </c>
      <c r="B100" s="10" t="s">
        <v>1502</v>
      </c>
      <c r="C100" s="10" t="s">
        <v>1503</v>
      </c>
      <c r="D100" s="11">
        <v>45139</v>
      </c>
      <c r="E100" s="12">
        <v>950000</v>
      </c>
      <c r="F100" s="10" t="s">
        <v>22</v>
      </c>
      <c r="G100" s="10" t="s">
        <v>23</v>
      </c>
      <c r="H100" s="12">
        <v>950000</v>
      </c>
      <c r="I100" s="12">
        <v>609240</v>
      </c>
      <c r="J100" s="13">
        <f>I100/H100*100</f>
        <v>64.130526315789467</v>
      </c>
      <c r="K100" s="12">
        <v>1218477</v>
      </c>
      <c r="L100" s="12">
        <f>H100-918477</f>
        <v>31523</v>
      </c>
      <c r="M100" s="12">
        <v>300000</v>
      </c>
      <c r="N100" s="12">
        <f>E100*0.2</f>
        <v>190000</v>
      </c>
      <c r="O100" s="14">
        <v>0</v>
      </c>
      <c r="P100" s="12" t="e">
        <f>L100/O100</f>
        <v>#DIV/0!</v>
      </c>
      <c r="Q100" s="15" t="e">
        <f>L100/O100/43560</f>
        <v>#DIV/0!</v>
      </c>
      <c r="R100" s="15" t="e">
        <f>M100/O100/43560</f>
        <v>#DIV/0!</v>
      </c>
      <c r="S100" s="10" t="s">
        <v>97</v>
      </c>
    </row>
    <row r="101" spans="1:19" x14ac:dyDescent="0.25">
      <c r="A101" s="10" t="s">
        <v>1504</v>
      </c>
      <c r="B101" s="10" t="s">
        <v>1505</v>
      </c>
      <c r="C101" s="10" t="s">
        <v>1503</v>
      </c>
      <c r="D101" s="11">
        <v>45418</v>
      </c>
      <c r="E101" s="12">
        <v>1550430</v>
      </c>
      <c r="F101" s="10" t="s">
        <v>29</v>
      </c>
      <c r="G101" s="10" t="s">
        <v>23</v>
      </c>
      <c r="H101" s="12">
        <v>1550430</v>
      </c>
      <c r="I101" s="12">
        <v>624860</v>
      </c>
      <c r="J101" s="13">
        <f>I101/H101*100</f>
        <v>40.30236773024258</v>
      </c>
      <c r="K101" s="12">
        <v>1249717</v>
      </c>
      <c r="L101" s="12">
        <f>H101-949717</f>
        <v>600713</v>
      </c>
      <c r="M101" s="12">
        <v>300000</v>
      </c>
      <c r="N101" s="12">
        <f>E101*0.2</f>
        <v>310086</v>
      </c>
      <c r="O101" s="14">
        <v>0</v>
      </c>
      <c r="P101" s="12" t="e">
        <f>L101/O101</f>
        <v>#DIV/0!</v>
      </c>
      <c r="Q101" s="15" t="e">
        <f>L101/O101/43560</f>
        <v>#DIV/0!</v>
      </c>
      <c r="R101" s="15" t="e">
        <f>M101/O101/43560</f>
        <v>#DIV/0!</v>
      </c>
      <c r="S101" s="10" t="s">
        <v>97</v>
      </c>
    </row>
    <row r="102" spans="1:19" x14ac:dyDescent="0.25">
      <c r="A102" s="10" t="s">
        <v>1506</v>
      </c>
      <c r="B102" s="10" t="s">
        <v>1507</v>
      </c>
      <c r="C102" s="10" t="s">
        <v>1503</v>
      </c>
      <c r="D102" s="11">
        <v>45504</v>
      </c>
      <c r="E102" s="12">
        <v>1999900</v>
      </c>
      <c r="F102" s="10" t="s">
        <v>29</v>
      </c>
      <c r="G102" s="10" t="s">
        <v>23</v>
      </c>
      <c r="H102" s="12">
        <v>1999900</v>
      </c>
      <c r="I102" s="12">
        <v>880030</v>
      </c>
      <c r="J102" s="13">
        <f>I102/H102*100</f>
        <v>44.003700185009251</v>
      </c>
      <c r="K102" s="12">
        <v>1760066</v>
      </c>
      <c r="L102" s="12">
        <f>H102-1460066</f>
        <v>539834</v>
      </c>
      <c r="M102" s="12">
        <v>300000</v>
      </c>
      <c r="N102" s="12">
        <f>E102*0.2</f>
        <v>399980</v>
      </c>
      <c r="O102" s="14">
        <v>0</v>
      </c>
      <c r="P102" s="12" t="e">
        <f>L102/O102</f>
        <v>#DIV/0!</v>
      </c>
      <c r="Q102" s="15" t="e">
        <f>L102/O102/43560</f>
        <v>#DIV/0!</v>
      </c>
      <c r="R102" s="15" t="e">
        <f>M102/O102/43560</f>
        <v>#DIV/0!</v>
      </c>
      <c r="S102" s="10" t="s">
        <v>97</v>
      </c>
    </row>
    <row r="103" spans="1:19" ht="15.75" thickBot="1" x14ac:dyDescent="0.3">
      <c r="A103" s="16"/>
      <c r="B103" s="16"/>
      <c r="C103" s="16"/>
      <c r="D103" s="17"/>
      <c r="E103" s="18"/>
      <c r="F103" s="16"/>
      <c r="G103" s="16"/>
      <c r="H103" s="18"/>
      <c r="I103" s="18"/>
      <c r="J103" s="19"/>
      <c r="K103" s="18"/>
      <c r="L103" s="18">
        <f>AVERAGE(L100:L102)</f>
        <v>390690</v>
      </c>
      <c r="M103" s="18">
        <f>AVERAGE(M100:M102)</f>
        <v>300000</v>
      </c>
      <c r="N103" s="18">
        <f>AVERAGE(N100:N102)</f>
        <v>300022</v>
      </c>
      <c r="O103" s="20"/>
      <c r="P103" s="18"/>
      <c r="Q103" s="21"/>
      <c r="R103" s="21"/>
      <c r="S103" s="16"/>
    </row>
    <row r="104" spans="1:19" ht="15.75" thickTop="1" x14ac:dyDescent="0.25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46DF-6A4C-486E-9FF9-053D72AD4BC6}">
  <dimension ref="A1:S17"/>
  <sheetViews>
    <sheetView workbookViewId="0">
      <selection activeCell="D21" sqref="D21"/>
    </sheetView>
  </sheetViews>
  <sheetFormatPr defaultRowHeight="15" x14ac:dyDescent="0.25"/>
  <cols>
    <col min="1" max="1" width="12.42578125" bestFit="1" customWidth="1"/>
    <col min="2" max="2" width="16.5703125" bestFit="1" customWidth="1"/>
    <col min="3" max="3" width="12.5703125" bestFit="1" customWidth="1"/>
    <col min="7" max="7" width="13.140625" bestFit="1" customWidth="1"/>
    <col min="13" max="13" width="10.8554687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180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1508</v>
      </c>
      <c r="B2" s="10" t="s">
        <v>1509</v>
      </c>
      <c r="C2" s="10" t="s">
        <v>1510</v>
      </c>
      <c r="D2" s="11">
        <v>45317</v>
      </c>
      <c r="E2" s="12">
        <v>740000</v>
      </c>
      <c r="F2" s="10" t="s">
        <v>22</v>
      </c>
      <c r="G2" s="10" t="s">
        <v>23</v>
      </c>
      <c r="H2" s="12">
        <v>740000</v>
      </c>
      <c r="I2" s="12">
        <v>457280</v>
      </c>
      <c r="J2" s="13">
        <f t="shared" ref="J2:J8" si="0">I2/H2*100</f>
        <v>61.794594594594599</v>
      </c>
      <c r="K2" s="12">
        <v>914550</v>
      </c>
      <c r="L2" s="12">
        <f>H2-639599</f>
        <v>100401</v>
      </c>
      <c r="M2" s="12">
        <v>274951</v>
      </c>
      <c r="N2" s="12">
        <f t="shared" ref="N2:N8" si="1">E2*0.2</f>
        <v>148000</v>
      </c>
      <c r="O2" s="14">
        <v>0.60399999999999998</v>
      </c>
      <c r="P2" s="12">
        <f t="shared" ref="P2:P8" si="2">L2/O2</f>
        <v>166226.82119205297</v>
      </c>
      <c r="Q2" s="15">
        <f t="shared" ref="Q2:Q8" si="3">L2/O2/43560</f>
        <v>3.8160427270902888</v>
      </c>
      <c r="R2" s="15">
        <f t="shared" ref="R2:R8" si="4">M2/O2/43560</f>
        <v>10.45034176807205</v>
      </c>
      <c r="S2" s="10" t="s">
        <v>24</v>
      </c>
    </row>
    <row r="3" spans="1:19" x14ac:dyDescent="0.25">
      <c r="A3" s="10" t="s">
        <v>1511</v>
      </c>
      <c r="B3" s="10" t="s">
        <v>1512</v>
      </c>
      <c r="C3" s="10" t="s">
        <v>1510</v>
      </c>
      <c r="D3" s="11">
        <v>45404</v>
      </c>
      <c r="E3" s="12">
        <v>1195000</v>
      </c>
      <c r="F3" s="10" t="s">
        <v>29</v>
      </c>
      <c r="G3" s="10" t="s">
        <v>23</v>
      </c>
      <c r="H3" s="12">
        <v>1195000</v>
      </c>
      <c r="I3" s="12">
        <v>622830</v>
      </c>
      <c r="J3" s="13">
        <f t="shared" si="0"/>
        <v>52.119665271966532</v>
      </c>
      <c r="K3" s="12">
        <v>1245668</v>
      </c>
      <c r="L3" s="12">
        <f>H3-983393</f>
        <v>211607</v>
      </c>
      <c r="M3" s="12">
        <v>262275</v>
      </c>
      <c r="N3" s="12">
        <f t="shared" si="1"/>
        <v>239000</v>
      </c>
      <c r="O3" s="14">
        <v>0.50700000000000001</v>
      </c>
      <c r="P3" s="12">
        <f t="shared" si="2"/>
        <v>417370.80867850099</v>
      </c>
      <c r="Q3" s="15">
        <f t="shared" si="3"/>
        <v>9.5815153507461197</v>
      </c>
      <c r="R3" s="15">
        <f t="shared" si="4"/>
        <v>11.875750512114148</v>
      </c>
      <c r="S3" s="10" t="s">
        <v>24</v>
      </c>
    </row>
    <row r="4" spans="1:19" x14ac:dyDescent="0.25">
      <c r="A4" s="10" t="s">
        <v>1513</v>
      </c>
      <c r="B4" s="10" t="s">
        <v>1514</v>
      </c>
      <c r="C4" s="10" t="s">
        <v>1510</v>
      </c>
      <c r="D4" s="11">
        <v>45177</v>
      </c>
      <c r="E4" s="12">
        <v>1220000</v>
      </c>
      <c r="F4" s="10" t="s">
        <v>22</v>
      </c>
      <c r="G4" s="10" t="s">
        <v>23</v>
      </c>
      <c r="H4" s="12">
        <v>1220000</v>
      </c>
      <c r="I4" s="12">
        <v>506480</v>
      </c>
      <c r="J4" s="13">
        <f t="shared" si="0"/>
        <v>41.514754098360655</v>
      </c>
      <c r="K4" s="12">
        <v>1012969</v>
      </c>
      <c r="L4" s="12">
        <f>H4-730439</f>
        <v>489561</v>
      </c>
      <c r="M4" s="12">
        <v>282530</v>
      </c>
      <c r="N4" s="12">
        <f t="shared" si="1"/>
        <v>244000</v>
      </c>
      <c r="O4" s="14">
        <v>0.66200000000000003</v>
      </c>
      <c r="P4" s="12">
        <f t="shared" si="2"/>
        <v>739518.12688821752</v>
      </c>
      <c r="Q4" s="15">
        <f t="shared" si="3"/>
        <v>16.977000158131716</v>
      </c>
      <c r="R4" s="15">
        <f t="shared" si="4"/>
        <v>9.7975775330897541</v>
      </c>
      <c r="S4" s="10" t="s">
        <v>24</v>
      </c>
    </row>
    <row r="5" spans="1:19" x14ac:dyDescent="0.25">
      <c r="A5" s="10" t="s">
        <v>1515</v>
      </c>
      <c r="B5" s="10" t="s">
        <v>1516</v>
      </c>
      <c r="C5" s="10" t="s">
        <v>1510</v>
      </c>
      <c r="D5" s="11">
        <v>45716</v>
      </c>
      <c r="E5" s="12">
        <v>900000</v>
      </c>
      <c r="F5" s="10" t="s">
        <v>22</v>
      </c>
      <c r="G5" s="10" t="s">
        <v>23</v>
      </c>
      <c r="H5" s="12">
        <v>900000</v>
      </c>
      <c r="I5" s="12">
        <v>594430</v>
      </c>
      <c r="J5" s="13">
        <f t="shared" si="0"/>
        <v>66.047777777777782</v>
      </c>
      <c r="K5" s="12">
        <v>1188862</v>
      </c>
      <c r="L5" s="12">
        <f>H5-921883</f>
        <v>-21883</v>
      </c>
      <c r="M5" s="12">
        <v>266979</v>
      </c>
      <c r="N5" s="12">
        <f t="shared" si="1"/>
        <v>180000</v>
      </c>
      <c r="O5" s="14">
        <v>0.54300000000000004</v>
      </c>
      <c r="P5" s="12">
        <f t="shared" si="2"/>
        <v>-40300.184162062615</v>
      </c>
      <c r="Q5" s="15">
        <f t="shared" si="3"/>
        <v>-0.92516492566718578</v>
      </c>
      <c r="R5" s="15">
        <f t="shared" si="4"/>
        <v>11.287282671009439</v>
      </c>
      <c r="S5" s="10" t="s">
        <v>24</v>
      </c>
    </row>
    <row r="6" spans="1:19" x14ac:dyDescent="0.25">
      <c r="A6" s="10" t="s">
        <v>1517</v>
      </c>
      <c r="B6" s="10" t="s">
        <v>1518</v>
      </c>
      <c r="C6" s="10" t="s">
        <v>1510</v>
      </c>
      <c r="D6" s="11">
        <v>45132</v>
      </c>
      <c r="E6" s="12">
        <v>1275000</v>
      </c>
      <c r="F6" s="10" t="s">
        <v>22</v>
      </c>
      <c r="G6" s="10" t="s">
        <v>23</v>
      </c>
      <c r="H6" s="12">
        <v>1275000</v>
      </c>
      <c r="I6" s="12">
        <v>532830</v>
      </c>
      <c r="J6" s="13">
        <f t="shared" si="0"/>
        <v>41.790588235294116</v>
      </c>
      <c r="K6" s="12">
        <v>1065663</v>
      </c>
      <c r="L6" s="12">
        <f>H6-768301</f>
        <v>506699</v>
      </c>
      <c r="M6" s="12">
        <v>297362</v>
      </c>
      <c r="N6" s="12">
        <f t="shared" si="1"/>
        <v>255000</v>
      </c>
      <c r="O6" s="14">
        <v>0.80100000000000005</v>
      </c>
      <c r="P6" s="12">
        <f t="shared" si="2"/>
        <v>632583.02122347057</v>
      </c>
      <c r="Q6" s="15">
        <f t="shared" si="3"/>
        <v>14.522107925240372</v>
      </c>
      <c r="R6" s="15">
        <f t="shared" si="4"/>
        <v>8.5224621656354707</v>
      </c>
      <c r="S6" s="10" t="s">
        <v>24</v>
      </c>
    </row>
    <row r="7" spans="1:19" x14ac:dyDescent="0.25">
      <c r="A7" s="10" t="s">
        <v>1519</v>
      </c>
      <c r="B7" s="10" t="s">
        <v>1520</v>
      </c>
      <c r="C7" s="10" t="s">
        <v>1510</v>
      </c>
      <c r="D7" s="11">
        <v>45079</v>
      </c>
      <c r="E7" s="12">
        <v>1599000</v>
      </c>
      <c r="F7" s="10" t="s">
        <v>22</v>
      </c>
      <c r="G7" s="10" t="s">
        <v>23</v>
      </c>
      <c r="H7" s="12">
        <v>1599000</v>
      </c>
      <c r="I7" s="12">
        <v>690820</v>
      </c>
      <c r="J7" s="13">
        <f t="shared" si="0"/>
        <v>43.203252032520325</v>
      </c>
      <c r="K7" s="12">
        <v>1381636</v>
      </c>
      <c r="L7" s="12">
        <f>H7-1011472</f>
        <v>587528</v>
      </c>
      <c r="M7" s="12">
        <v>370164</v>
      </c>
      <c r="N7" s="12">
        <f t="shared" si="1"/>
        <v>319800</v>
      </c>
      <c r="O7" s="14">
        <v>0.97099999999999997</v>
      </c>
      <c r="P7" s="12">
        <f t="shared" si="2"/>
        <v>605075.18022657058</v>
      </c>
      <c r="Q7" s="15">
        <f t="shared" si="3"/>
        <v>13.890614789407039</v>
      </c>
      <c r="R7" s="15">
        <f t="shared" si="4"/>
        <v>8.7515923205465374</v>
      </c>
      <c r="S7" s="10" t="s">
        <v>24</v>
      </c>
    </row>
    <row r="8" spans="1:19" x14ac:dyDescent="0.25">
      <c r="A8" s="10" t="s">
        <v>1521</v>
      </c>
      <c r="B8" s="10" t="s">
        <v>1522</v>
      </c>
      <c r="C8" s="10" t="s">
        <v>1510</v>
      </c>
      <c r="D8" s="11">
        <v>45460</v>
      </c>
      <c r="E8" s="12">
        <v>1400000</v>
      </c>
      <c r="F8" s="10" t="s">
        <v>22</v>
      </c>
      <c r="G8" s="10" t="s">
        <v>23</v>
      </c>
      <c r="H8" s="12">
        <v>1400000</v>
      </c>
      <c r="I8" s="12">
        <v>661670</v>
      </c>
      <c r="J8" s="13">
        <f t="shared" si="0"/>
        <v>47.262142857142855</v>
      </c>
      <c r="K8" s="12">
        <v>1323340</v>
      </c>
      <c r="L8" s="12">
        <f>H8-969720</f>
        <v>430280</v>
      </c>
      <c r="M8" s="12">
        <v>353620</v>
      </c>
      <c r="N8" s="12">
        <f t="shared" si="1"/>
        <v>280000</v>
      </c>
      <c r="O8" s="14">
        <v>0.76</v>
      </c>
      <c r="P8" s="12">
        <f t="shared" si="2"/>
        <v>566157.89473684214</v>
      </c>
      <c r="Q8" s="15">
        <f t="shared" si="3"/>
        <v>12.997196848871491</v>
      </c>
      <c r="R8" s="15">
        <f t="shared" si="4"/>
        <v>10.681576530858827</v>
      </c>
      <c r="S8" s="10" t="s">
        <v>24</v>
      </c>
    </row>
    <row r="9" spans="1:19" ht="15.75" thickBot="1" x14ac:dyDescent="0.3">
      <c r="A9" s="16"/>
      <c r="B9" s="16"/>
      <c r="C9" s="16"/>
      <c r="D9" s="17"/>
      <c r="E9" s="18"/>
      <c r="F9" s="16"/>
      <c r="G9" s="16"/>
      <c r="H9" s="18"/>
      <c r="I9" s="18"/>
      <c r="J9" s="19"/>
      <c r="K9" s="18"/>
      <c r="L9" s="18">
        <f>AVERAGE(L2:L8)</f>
        <v>329170.42857142858</v>
      </c>
      <c r="M9" s="18">
        <f>AVERAGE(M2:M8)</f>
        <v>301125.85714285716</v>
      </c>
      <c r="N9" s="18">
        <f>AVERAGE(N2:N8)</f>
        <v>237971.42857142858</v>
      </c>
      <c r="O9" s="20"/>
      <c r="P9" s="18"/>
      <c r="Q9" s="21">
        <f>AVERAGE(Q2:Q8)</f>
        <v>10.122758981974263</v>
      </c>
      <c r="R9" s="21">
        <f>AVERAGE(R2:R8)</f>
        <v>10.195226214475175</v>
      </c>
      <c r="S9" s="16"/>
    </row>
    <row r="10" spans="1:19" ht="15.75" thickTop="1" x14ac:dyDescent="0.25">
      <c r="A10" s="10"/>
      <c r="B10" s="10"/>
      <c r="C10" s="10"/>
      <c r="D10" s="11"/>
      <c r="E10" s="12"/>
      <c r="F10" s="10"/>
      <c r="G10" s="10"/>
      <c r="H10" s="12"/>
      <c r="I10" s="12"/>
      <c r="J10" s="13"/>
      <c r="K10" s="12"/>
      <c r="L10" s="12"/>
      <c r="M10" s="12"/>
      <c r="N10" s="12"/>
      <c r="O10" s="14"/>
      <c r="P10" s="12"/>
      <c r="Q10" s="15"/>
      <c r="R10" s="15"/>
      <c r="S10" s="10"/>
    </row>
    <row r="11" spans="1:19" x14ac:dyDescent="0.25">
      <c r="A11" s="10"/>
      <c r="B11" s="10"/>
      <c r="C11" s="10"/>
      <c r="D11" s="11"/>
      <c r="E11" s="12"/>
      <c r="F11" s="10"/>
      <c r="G11" s="10"/>
      <c r="H11" s="12"/>
      <c r="I11" s="12"/>
      <c r="J11" s="13"/>
      <c r="K11" s="12"/>
      <c r="L11" s="12"/>
      <c r="M11" s="12"/>
      <c r="N11" s="12"/>
      <c r="O11" s="14"/>
      <c r="P11" s="12"/>
      <c r="Q11" s="15"/>
      <c r="R11" s="15"/>
      <c r="S11" s="10"/>
    </row>
    <row r="12" spans="1:19" x14ac:dyDescent="0.25">
      <c r="A12" s="10" t="s">
        <v>1523</v>
      </c>
      <c r="B12" s="10" t="s">
        <v>1524</v>
      </c>
      <c r="C12" s="10" t="s">
        <v>1525</v>
      </c>
      <c r="D12" s="11">
        <v>45152</v>
      </c>
      <c r="E12" s="12">
        <v>599000</v>
      </c>
      <c r="F12" s="10" t="s">
        <v>22</v>
      </c>
      <c r="G12" s="10" t="s">
        <v>23</v>
      </c>
      <c r="H12" s="12">
        <v>599000</v>
      </c>
      <c r="I12" s="12">
        <v>258040</v>
      </c>
      <c r="J12" s="13">
        <f>I12/H12*100</f>
        <v>43.078464106844741</v>
      </c>
      <c r="K12" s="12">
        <v>516071</v>
      </c>
      <c r="L12" s="12">
        <f>H12-412543</f>
        <v>186457</v>
      </c>
      <c r="M12" s="12">
        <v>103528</v>
      </c>
      <c r="N12" s="12">
        <f>E12*0.2</f>
        <v>119800</v>
      </c>
      <c r="O12" s="14">
        <v>0.94199999999999995</v>
      </c>
      <c r="P12" s="12">
        <f>L12/O12</f>
        <v>197937.36730360935</v>
      </c>
      <c r="Q12" s="15">
        <f>L12/O12/43560</f>
        <v>4.5440166965934194</v>
      </c>
      <c r="R12" s="15">
        <f>M12/O12/43560</f>
        <v>2.5230104558419555</v>
      </c>
      <c r="S12" s="10" t="s">
        <v>24</v>
      </c>
    </row>
    <row r="13" spans="1:19" x14ac:dyDescent="0.25">
      <c r="A13" s="10" t="s">
        <v>1526</v>
      </c>
      <c r="B13" s="10" t="s">
        <v>1527</v>
      </c>
      <c r="C13" s="10" t="s">
        <v>1525</v>
      </c>
      <c r="D13" s="11">
        <v>45195</v>
      </c>
      <c r="E13" s="12">
        <v>640000</v>
      </c>
      <c r="F13" s="10" t="s">
        <v>22</v>
      </c>
      <c r="G13" s="10" t="s">
        <v>23</v>
      </c>
      <c r="H13" s="12">
        <v>640000</v>
      </c>
      <c r="I13" s="12">
        <v>263730</v>
      </c>
      <c r="J13" s="13">
        <f>I13/H13*100</f>
        <v>41.207812500000003</v>
      </c>
      <c r="K13" s="12">
        <v>527466</v>
      </c>
      <c r="L13" s="12">
        <f>H13-400358</f>
        <v>239642</v>
      </c>
      <c r="M13" s="12">
        <v>127108</v>
      </c>
      <c r="N13" s="12">
        <f>E13*0.2</f>
        <v>128000</v>
      </c>
      <c r="O13" s="14">
        <v>0.83599999999999997</v>
      </c>
      <c r="P13" s="12">
        <f>L13/O13</f>
        <v>286653.11004784692</v>
      </c>
      <c r="Q13" s="15">
        <f>L13/O13/43560</f>
        <v>6.5806499092710498</v>
      </c>
      <c r="R13" s="15">
        <f>M13/O13/43560</f>
        <v>3.4904284251826665</v>
      </c>
      <c r="S13" s="10" t="s">
        <v>24</v>
      </c>
    </row>
    <row r="14" spans="1:19" x14ac:dyDescent="0.25">
      <c r="A14" s="10" t="s">
        <v>1528</v>
      </c>
      <c r="B14" s="10" t="s">
        <v>1529</v>
      </c>
      <c r="C14" s="10" t="s">
        <v>1525</v>
      </c>
      <c r="D14" s="11">
        <v>45427</v>
      </c>
      <c r="E14" s="12">
        <v>775000</v>
      </c>
      <c r="F14" s="10" t="s">
        <v>22</v>
      </c>
      <c r="G14" s="10" t="s">
        <v>23</v>
      </c>
      <c r="H14" s="12">
        <v>775000</v>
      </c>
      <c r="I14" s="12">
        <v>357790</v>
      </c>
      <c r="J14" s="13">
        <f>I14/H14*100</f>
        <v>46.166451612903224</v>
      </c>
      <c r="K14" s="12">
        <v>715574</v>
      </c>
      <c r="L14" s="12">
        <f>H14-574941</f>
        <v>200059</v>
      </c>
      <c r="M14" s="12">
        <v>140633</v>
      </c>
      <c r="N14" s="12">
        <f>E14*0.2</f>
        <v>155000</v>
      </c>
      <c r="O14" s="14">
        <v>1.4570000000000001</v>
      </c>
      <c r="P14" s="12">
        <f>L14/O14</f>
        <v>137308.85380919697</v>
      </c>
      <c r="Q14" s="15">
        <f>L14/O14/43560</f>
        <v>3.1521775438291315</v>
      </c>
      <c r="R14" s="15">
        <f>M14/O14/43560</f>
        <v>2.2158472476685493</v>
      </c>
      <c r="S14" s="10" t="s">
        <v>24</v>
      </c>
    </row>
    <row r="15" spans="1:19" x14ac:dyDescent="0.25">
      <c r="A15" s="10" t="s">
        <v>1530</v>
      </c>
      <c r="B15" s="10" t="s">
        <v>1531</v>
      </c>
      <c r="C15" s="10" t="s">
        <v>1525</v>
      </c>
      <c r="D15" s="11">
        <v>45177</v>
      </c>
      <c r="E15" s="12">
        <v>660000</v>
      </c>
      <c r="F15" s="10" t="s">
        <v>22</v>
      </c>
      <c r="G15" s="10" t="s">
        <v>23</v>
      </c>
      <c r="H15" s="12">
        <v>660000</v>
      </c>
      <c r="I15" s="12">
        <v>293860</v>
      </c>
      <c r="J15" s="13">
        <f>I15/H15*100</f>
        <v>44.524242424242424</v>
      </c>
      <c r="K15" s="12">
        <v>587724</v>
      </c>
      <c r="L15" s="12">
        <f>H15-500380</f>
        <v>159620</v>
      </c>
      <c r="M15" s="12">
        <v>87344</v>
      </c>
      <c r="N15" s="12">
        <f>E15*0.2</f>
        <v>132000</v>
      </c>
      <c r="O15" s="14">
        <v>0.74299999999999999</v>
      </c>
      <c r="P15" s="12">
        <f>L15/O15</f>
        <v>214831.76312247646</v>
      </c>
      <c r="Q15" s="15">
        <f>L15/O15/43560</f>
        <v>4.9318586575407819</v>
      </c>
      <c r="R15" s="15">
        <f>M15/O15/43560</f>
        <v>2.6987110799664329</v>
      </c>
      <c r="S15" s="10" t="s">
        <v>24</v>
      </c>
    </row>
    <row r="16" spans="1:19" ht="15.75" thickBot="1" x14ac:dyDescent="0.3">
      <c r="A16" s="16"/>
      <c r="B16" s="16"/>
      <c r="C16" s="16"/>
      <c r="D16" s="17"/>
      <c r="E16" s="18"/>
      <c r="F16" s="16"/>
      <c r="G16" s="16"/>
      <c r="H16" s="18"/>
      <c r="I16" s="18"/>
      <c r="J16" s="19"/>
      <c r="K16" s="18"/>
      <c r="L16" s="18">
        <f>AVERAGE(L12:L15)</f>
        <v>196444.5</v>
      </c>
      <c r="M16" s="18">
        <f>AVERAGE(M12:M15)</f>
        <v>114653.25</v>
      </c>
      <c r="N16" s="18">
        <f>AVERAGE(N12:N15)</f>
        <v>133700</v>
      </c>
      <c r="O16" s="20"/>
      <c r="P16" s="18"/>
      <c r="Q16" s="21">
        <f>AVERAGE(Q12:Q15)</f>
        <v>4.8021757018085953</v>
      </c>
      <c r="R16" s="21">
        <f>AVERAGE(R12:R15)</f>
        <v>2.7319993021649012</v>
      </c>
      <c r="S16" s="16"/>
    </row>
    <row r="17" ht="15.75" thickTop="1" x14ac:dyDescent="0.25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89AA3-F26F-4C0A-95CE-C8D8C1307AEA}">
  <dimension ref="A1:S46"/>
  <sheetViews>
    <sheetView workbookViewId="0">
      <selection activeCell="A37" sqref="A37:XFD40"/>
    </sheetView>
  </sheetViews>
  <sheetFormatPr defaultRowHeight="15" x14ac:dyDescent="0.25"/>
  <cols>
    <col min="1" max="1" width="12.42578125" bestFit="1" customWidth="1"/>
    <col min="2" max="2" width="17.7109375" bestFit="1" customWidth="1"/>
    <col min="3" max="3" width="12.5703125" bestFit="1" customWidth="1"/>
    <col min="7" max="7" width="13.140625" bestFit="1" customWidth="1"/>
    <col min="13" max="13" width="10.8554687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180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1532</v>
      </c>
      <c r="B2" s="10" t="s">
        <v>1533</v>
      </c>
      <c r="C2" s="10" t="s">
        <v>1534</v>
      </c>
      <c r="D2" s="11">
        <v>45128</v>
      </c>
      <c r="E2" s="12">
        <v>800000</v>
      </c>
      <c r="F2" s="10" t="s">
        <v>22</v>
      </c>
      <c r="G2" s="10" t="s">
        <v>23</v>
      </c>
      <c r="H2" s="12">
        <v>800000</v>
      </c>
      <c r="I2" s="12">
        <v>414580</v>
      </c>
      <c r="J2" s="13">
        <f>I2/H2*100</f>
        <v>51.822500000000005</v>
      </c>
      <c r="K2" s="12">
        <v>829161</v>
      </c>
      <c r="L2" s="12">
        <f>H2-617547</f>
        <v>182453</v>
      </c>
      <c r="M2" s="12">
        <v>211614</v>
      </c>
      <c r="N2" s="12">
        <f>E2*0.2</f>
        <v>160000</v>
      </c>
      <c r="O2" s="14">
        <v>0.69</v>
      </c>
      <c r="P2" s="12">
        <f>L2/O2</f>
        <v>264424.63768115942</v>
      </c>
      <c r="Q2" s="15">
        <f>L2/O2/43560</f>
        <v>6.070354400393926</v>
      </c>
      <c r="R2" s="15">
        <f>M2/O2/43560</f>
        <v>7.0405637401684835</v>
      </c>
      <c r="S2" s="10" t="s">
        <v>24</v>
      </c>
    </row>
    <row r="3" spans="1:19" x14ac:dyDescent="0.25">
      <c r="A3" s="10" t="s">
        <v>1535</v>
      </c>
      <c r="B3" s="10" t="s">
        <v>1536</v>
      </c>
      <c r="C3" s="10" t="s">
        <v>1534</v>
      </c>
      <c r="D3" s="11">
        <v>45198</v>
      </c>
      <c r="E3" s="12">
        <v>766666</v>
      </c>
      <c r="F3" s="10" t="s">
        <v>22</v>
      </c>
      <c r="G3" s="10" t="s">
        <v>23</v>
      </c>
      <c r="H3" s="12">
        <v>766666</v>
      </c>
      <c r="I3" s="12">
        <v>343120</v>
      </c>
      <c r="J3" s="13">
        <f>I3/H3*100</f>
        <v>44.75482152593176</v>
      </c>
      <c r="K3" s="12">
        <v>686243</v>
      </c>
      <c r="L3" s="12">
        <f>H3-472816</f>
        <v>293850</v>
      </c>
      <c r="M3" s="12">
        <v>213427</v>
      </c>
      <c r="N3" s="12">
        <f>E3*0.2</f>
        <v>153333.20000000001</v>
      </c>
      <c r="O3" s="14">
        <v>0.70299999999999996</v>
      </c>
      <c r="P3" s="12">
        <f>L3/O3</f>
        <v>417994.31009957328</v>
      </c>
      <c r="Q3" s="15">
        <f>L3/O3/43560</f>
        <v>9.5958289738194047</v>
      </c>
      <c r="R3" s="15">
        <f>M3/O3/43560</f>
        <v>6.9695728786637883</v>
      </c>
      <c r="S3" s="10" t="s">
        <v>24</v>
      </c>
    </row>
    <row r="4" spans="1:19" x14ac:dyDescent="0.25">
      <c r="A4" s="10" t="s">
        <v>1537</v>
      </c>
      <c r="B4" s="10" t="s">
        <v>1538</v>
      </c>
      <c r="C4" s="10" t="s">
        <v>1534</v>
      </c>
      <c r="D4" s="11">
        <v>45538</v>
      </c>
      <c r="E4" s="12">
        <v>679000</v>
      </c>
      <c r="F4" s="10" t="s">
        <v>22</v>
      </c>
      <c r="G4" s="10" t="s">
        <v>23</v>
      </c>
      <c r="H4" s="12">
        <v>679000</v>
      </c>
      <c r="I4" s="12">
        <v>338010</v>
      </c>
      <c r="J4" s="13">
        <f>I4/H4*100</f>
        <v>49.780559646539032</v>
      </c>
      <c r="K4" s="12">
        <v>676029</v>
      </c>
      <c r="L4" s="12">
        <f>H4-489366</f>
        <v>189634</v>
      </c>
      <c r="M4" s="12">
        <v>186663</v>
      </c>
      <c r="N4" s="12">
        <f>E4*0.2</f>
        <v>135800</v>
      </c>
      <c r="O4" s="14">
        <v>0.51100000000000001</v>
      </c>
      <c r="P4" s="12">
        <f>L4/O4</f>
        <v>371103.71819960861</v>
      </c>
      <c r="Q4" s="15">
        <f>L4/O4/43560</f>
        <v>8.5193691046742099</v>
      </c>
      <c r="R4" s="15">
        <f>M4/O4/43560</f>
        <v>8.3858959637290891</v>
      </c>
      <c r="S4" s="10" t="s">
        <v>24</v>
      </c>
    </row>
    <row r="5" spans="1:19" ht="15.75" thickBot="1" x14ac:dyDescent="0.3">
      <c r="A5" s="16"/>
      <c r="B5" s="16"/>
      <c r="C5" s="16"/>
      <c r="D5" s="17"/>
      <c r="E5" s="18"/>
      <c r="F5" s="16"/>
      <c r="G5" s="16"/>
      <c r="H5" s="18"/>
      <c r="I5" s="18"/>
      <c r="J5" s="19"/>
      <c r="K5" s="18"/>
      <c r="L5" s="18">
        <f>AVERAGE(L2:L4)</f>
        <v>221979</v>
      </c>
      <c r="M5" s="18">
        <f>AVERAGE(M2:M4)</f>
        <v>203901.33333333334</v>
      </c>
      <c r="N5" s="18">
        <f>AVERAGE(N2:N4)</f>
        <v>149711.06666666668</v>
      </c>
      <c r="O5" s="20"/>
      <c r="P5" s="18"/>
      <c r="Q5" s="21">
        <f>AVERAGE(Q2:Q4)</f>
        <v>8.0618508262958475</v>
      </c>
      <c r="R5" s="21">
        <f>AVERAGE(R2:R4)</f>
        <v>7.4653441941871206</v>
      </c>
      <c r="S5" s="16"/>
    </row>
    <row r="6" spans="1:19" ht="15.75" thickTop="1" x14ac:dyDescent="0.25">
      <c r="A6" s="10"/>
      <c r="B6" s="10"/>
      <c r="C6" s="10"/>
      <c r="D6" s="11"/>
      <c r="E6" s="12"/>
      <c r="F6" s="10"/>
      <c r="G6" s="10"/>
      <c r="H6" s="12"/>
      <c r="I6" s="12"/>
      <c r="J6" s="13"/>
      <c r="K6" s="12"/>
      <c r="L6" s="12"/>
      <c r="M6" s="12"/>
      <c r="N6" s="12"/>
      <c r="O6" s="14"/>
      <c r="P6" s="12"/>
      <c r="Q6" s="15"/>
      <c r="R6" s="15"/>
      <c r="S6" s="10"/>
    </row>
    <row r="7" spans="1:19" x14ac:dyDescent="0.25">
      <c r="A7" s="10"/>
      <c r="B7" s="10"/>
      <c r="C7" s="10"/>
      <c r="D7" s="11"/>
      <c r="E7" s="12"/>
      <c r="F7" s="10"/>
      <c r="G7" s="10"/>
      <c r="H7" s="12"/>
      <c r="I7" s="12"/>
      <c r="J7" s="13"/>
      <c r="K7" s="12"/>
      <c r="L7" s="12"/>
      <c r="M7" s="12"/>
      <c r="N7" s="12"/>
      <c r="O7" s="14"/>
      <c r="P7" s="12"/>
      <c r="Q7" s="15"/>
      <c r="R7" s="15"/>
      <c r="S7" s="10"/>
    </row>
    <row r="8" spans="1:19" x14ac:dyDescent="0.25">
      <c r="A8" s="10" t="s">
        <v>1539</v>
      </c>
      <c r="B8" s="10" t="s">
        <v>1540</v>
      </c>
      <c r="C8" s="10" t="s">
        <v>1541</v>
      </c>
      <c r="D8" s="11">
        <v>45649</v>
      </c>
      <c r="E8" s="12">
        <v>860000</v>
      </c>
      <c r="F8" s="10" t="s">
        <v>29</v>
      </c>
      <c r="G8" s="10" t="s">
        <v>23</v>
      </c>
      <c r="H8" s="12">
        <v>860000</v>
      </c>
      <c r="I8" s="12">
        <v>476290</v>
      </c>
      <c r="J8" s="13">
        <f>I8/H8*100</f>
        <v>55.382558139534886</v>
      </c>
      <c r="K8" s="12">
        <v>952576</v>
      </c>
      <c r="L8" s="12">
        <f>H8-727684</f>
        <v>132316</v>
      </c>
      <c r="M8" s="12">
        <v>224892</v>
      </c>
      <c r="N8" s="12">
        <f>E8*0.2</f>
        <v>172000</v>
      </c>
      <c r="O8" s="14">
        <v>0.629</v>
      </c>
      <c r="P8" s="12">
        <f>L8/O8</f>
        <v>210359.30047694754</v>
      </c>
      <c r="Q8" s="15">
        <f>L8/O8/43560</f>
        <v>4.8291850430887866</v>
      </c>
      <c r="R8" s="15">
        <f>M8/O8/43560</f>
        <v>8.2079648924568716</v>
      </c>
      <c r="S8" s="10" t="s">
        <v>24</v>
      </c>
    </row>
    <row r="9" spans="1:19" x14ac:dyDescent="0.25">
      <c r="A9" s="10" t="s">
        <v>1542</v>
      </c>
      <c r="B9" s="10" t="s">
        <v>1543</v>
      </c>
      <c r="C9" s="10" t="s">
        <v>1541</v>
      </c>
      <c r="D9" s="11">
        <v>45194</v>
      </c>
      <c r="E9" s="12">
        <v>1311515</v>
      </c>
      <c r="F9" s="10" t="s">
        <v>22</v>
      </c>
      <c r="G9" s="10" t="s">
        <v>23</v>
      </c>
      <c r="H9" s="12">
        <v>1311515</v>
      </c>
      <c r="I9" s="12">
        <v>471620</v>
      </c>
      <c r="J9" s="13">
        <f>I9/H9*100</f>
        <v>35.959939459327572</v>
      </c>
      <c r="K9" s="12">
        <v>943242</v>
      </c>
      <c r="L9" s="12">
        <f>H9-688394</f>
        <v>623121</v>
      </c>
      <c r="M9" s="12">
        <v>254848</v>
      </c>
      <c r="N9" s="12">
        <f>E9*0.2</f>
        <v>262303</v>
      </c>
      <c r="O9" s="14">
        <v>1.0509999999999999</v>
      </c>
      <c r="P9" s="12">
        <f>L9/O9</f>
        <v>592883.92007611797</v>
      </c>
      <c r="Q9" s="15">
        <f>L9/O9/43560</f>
        <v>13.610741966853029</v>
      </c>
      <c r="R9" s="15">
        <f>M9/O9/43560</f>
        <v>5.5666080404424845</v>
      </c>
      <c r="S9" s="10" t="s">
        <v>24</v>
      </c>
    </row>
    <row r="10" spans="1:19" x14ac:dyDescent="0.25">
      <c r="A10" s="10" t="s">
        <v>1544</v>
      </c>
      <c r="B10" s="10" t="s">
        <v>1545</v>
      </c>
      <c r="C10" s="10" t="s">
        <v>1541</v>
      </c>
      <c r="D10" s="11">
        <v>45246</v>
      </c>
      <c r="E10" s="12">
        <v>1175000</v>
      </c>
      <c r="F10" s="10" t="s">
        <v>22</v>
      </c>
      <c r="G10" s="10" t="s">
        <v>23</v>
      </c>
      <c r="H10" s="12">
        <v>1175000</v>
      </c>
      <c r="I10" s="12">
        <v>430010</v>
      </c>
      <c r="J10" s="13">
        <f>I10/H10*100</f>
        <v>36.596595744680847</v>
      </c>
      <c r="K10" s="12">
        <v>860027</v>
      </c>
      <c r="L10" s="12">
        <f>H10-625239</f>
        <v>549761</v>
      </c>
      <c r="M10" s="12">
        <v>234788</v>
      </c>
      <c r="N10" s="12">
        <f>E10*0.2</f>
        <v>235000</v>
      </c>
      <c r="O10" s="14">
        <v>0.7</v>
      </c>
      <c r="P10" s="12">
        <f>L10/O10</f>
        <v>785372.85714285716</v>
      </c>
      <c r="Q10" s="15">
        <f>L10/O10/43560</f>
        <v>18.029679916043552</v>
      </c>
      <c r="R10" s="15">
        <f>M10/O10/43560</f>
        <v>7.6999868818050636</v>
      </c>
      <c r="S10" s="10" t="s">
        <v>24</v>
      </c>
    </row>
    <row r="11" spans="1:19" ht="15.75" thickBot="1" x14ac:dyDescent="0.3">
      <c r="A11" s="16"/>
      <c r="B11" s="16"/>
      <c r="C11" s="16"/>
      <c r="D11" s="17"/>
      <c r="E11" s="18"/>
      <c r="F11" s="16"/>
      <c r="G11" s="16"/>
      <c r="H11" s="18"/>
      <c r="I11" s="18"/>
      <c r="J11" s="19"/>
      <c r="K11" s="18"/>
      <c r="L11" s="18">
        <f>AVERAGE(L8:L10)</f>
        <v>435066</v>
      </c>
      <c r="M11" s="18">
        <f>AVERAGE(M8:M10)</f>
        <v>238176</v>
      </c>
      <c r="N11" s="18">
        <f>AVERAGE(N8:N10)</f>
        <v>223101</v>
      </c>
      <c r="O11" s="20"/>
      <c r="P11" s="18"/>
      <c r="Q11" s="21">
        <f>AVERAGE(Q8:Q10)</f>
        <v>12.156535641995122</v>
      </c>
      <c r="R11" s="21">
        <f>AVERAGE(R8:R10)</f>
        <v>7.1581866049014735</v>
      </c>
      <c r="S11" s="16"/>
    </row>
    <row r="12" spans="1:19" ht="15.75" thickTop="1" x14ac:dyDescent="0.25">
      <c r="A12" s="10"/>
      <c r="B12" s="10"/>
      <c r="C12" s="10"/>
      <c r="D12" s="11"/>
      <c r="E12" s="12"/>
      <c r="F12" s="10"/>
      <c r="G12" s="10"/>
      <c r="H12" s="12"/>
      <c r="I12" s="12"/>
      <c r="J12" s="13"/>
      <c r="K12" s="12"/>
      <c r="L12" s="12"/>
      <c r="M12" s="12"/>
      <c r="N12" s="12"/>
      <c r="O12" s="14"/>
      <c r="P12" s="12"/>
      <c r="Q12" s="15"/>
      <c r="R12" s="15"/>
      <c r="S12" s="10"/>
    </row>
    <row r="13" spans="1:19" x14ac:dyDescent="0.25">
      <c r="A13" s="10"/>
      <c r="B13" s="10"/>
      <c r="C13" s="10"/>
      <c r="D13" s="11"/>
      <c r="E13" s="12"/>
      <c r="F13" s="10"/>
      <c r="G13" s="10"/>
      <c r="H13" s="12"/>
      <c r="I13" s="12"/>
      <c r="J13" s="13"/>
      <c r="K13" s="12"/>
      <c r="L13" s="12"/>
      <c r="M13" s="12"/>
      <c r="N13" s="12"/>
      <c r="O13" s="14"/>
      <c r="P13" s="12"/>
      <c r="Q13" s="15"/>
      <c r="R13" s="15"/>
      <c r="S13" s="10"/>
    </row>
    <row r="14" spans="1:19" x14ac:dyDescent="0.25">
      <c r="A14" s="10" t="s">
        <v>1546</v>
      </c>
      <c r="B14" s="10" t="s">
        <v>1547</v>
      </c>
      <c r="C14" s="10" t="s">
        <v>1548</v>
      </c>
      <c r="D14" s="11">
        <v>45065</v>
      </c>
      <c r="E14" s="12">
        <v>675000</v>
      </c>
      <c r="F14" s="10" t="s">
        <v>22</v>
      </c>
      <c r="G14" s="10" t="s">
        <v>23</v>
      </c>
      <c r="H14" s="12">
        <v>675000</v>
      </c>
      <c r="I14" s="12">
        <v>254050</v>
      </c>
      <c r="J14" s="13">
        <f>I14/H14*100</f>
        <v>37.637037037037032</v>
      </c>
      <c r="K14" s="12">
        <v>508105</v>
      </c>
      <c r="L14" s="12">
        <f>H14-369617</f>
        <v>305383</v>
      </c>
      <c r="M14" s="12">
        <v>138488</v>
      </c>
      <c r="N14" s="12">
        <f>E14*0.2</f>
        <v>135000</v>
      </c>
      <c r="O14" s="14">
        <v>0.45400000000000001</v>
      </c>
      <c r="P14" s="12">
        <f>L14/O14</f>
        <v>672649.77973568277</v>
      </c>
      <c r="Q14" s="15">
        <f>L14/O14/43560</f>
        <v>15.441914135346252</v>
      </c>
      <c r="R14" s="15">
        <f>M14/O14/43560</f>
        <v>7.002746730419938</v>
      </c>
      <c r="S14" s="10" t="s">
        <v>24</v>
      </c>
    </row>
    <row r="15" spans="1:19" x14ac:dyDescent="0.25">
      <c r="A15" s="10" t="s">
        <v>1549</v>
      </c>
      <c r="B15" s="10" t="s">
        <v>1550</v>
      </c>
      <c r="C15" s="10" t="s">
        <v>1548</v>
      </c>
      <c r="D15" s="11">
        <v>45428</v>
      </c>
      <c r="E15" s="12">
        <v>695000</v>
      </c>
      <c r="F15" s="10" t="s">
        <v>22</v>
      </c>
      <c r="G15" s="10" t="s">
        <v>23</v>
      </c>
      <c r="H15" s="12">
        <v>695000</v>
      </c>
      <c r="I15" s="12">
        <v>267240</v>
      </c>
      <c r="J15" s="13">
        <f>I15/H15*100</f>
        <v>38.45179856115108</v>
      </c>
      <c r="K15" s="12">
        <v>534480</v>
      </c>
      <c r="L15" s="12">
        <f>H15-395741</f>
        <v>299259</v>
      </c>
      <c r="M15" s="12">
        <v>138739</v>
      </c>
      <c r="N15" s="12">
        <f>E15*0.2</f>
        <v>139000</v>
      </c>
      <c r="O15" s="14">
        <v>0.45500000000000002</v>
      </c>
      <c r="P15" s="12">
        <f>L15/O15</f>
        <v>657712.08791208791</v>
      </c>
      <c r="Q15" s="15">
        <f>L15/O15/43560</f>
        <v>15.098991917173736</v>
      </c>
      <c r="R15" s="15">
        <f>M15/O15/43560</f>
        <v>7.0000201818383632</v>
      </c>
      <c r="S15" s="10" t="s">
        <v>24</v>
      </c>
    </row>
    <row r="16" spans="1:19" x14ac:dyDescent="0.25">
      <c r="A16" s="10" t="s">
        <v>1551</v>
      </c>
      <c r="B16" s="10" t="s">
        <v>1552</v>
      </c>
      <c r="C16" s="10" t="s">
        <v>1548</v>
      </c>
      <c r="D16" s="11">
        <v>45495</v>
      </c>
      <c r="E16" s="12">
        <v>675000</v>
      </c>
      <c r="F16" s="10" t="s">
        <v>22</v>
      </c>
      <c r="G16" s="10" t="s">
        <v>23</v>
      </c>
      <c r="H16" s="12">
        <v>675000</v>
      </c>
      <c r="I16" s="12">
        <v>270290</v>
      </c>
      <c r="J16" s="13">
        <f>I16/H16*100</f>
        <v>40.04296296296296</v>
      </c>
      <c r="K16" s="12">
        <v>540586</v>
      </c>
      <c r="L16" s="12">
        <f>H16-401847</f>
        <v>273153</v>
      </c>
      <c r="M16" s="12">
        <v>138739</v>
      </c>
      <c r="N16" s="12">
        <f>E16*0.2</f>
        <v>135000</v>
      </c>
      <c r="O16" s="14">
        <v>0.45500000000000002</v>
      </c>
      <c r="P16" s="12">
        <f>L16/O16</f>
        <v>600336.26373626373</v>
      </c>
      <c r="Q16" s="15">
        <f>L16/O16/43560</f>
        <v>13.78182423636969</v>
      </c>
      <c r="R16" s="15">
        <f>M16/O16/43560</f>
        <v>7.0000201818383632</v>
      </c>
      <c r="S16" s="10" t="s">
        <v>24</v>
      </c>
    </row>
    <row r="17" spans="1:19" x14ac:dyDescent="0.25">
      <c r="A17" s="10" t="s">
        <v>1553</v>
      </c>
      <c r="B17" s="10" t="s">
        <v>1554</v>
      </c>
      <c r="C17" s="10" t="s">
        <v>1548</v>
      </c>
      <c r="D17" s="11">
        <v>45100</v>
      </c>
      <c r="E17" s="12">
        <v>685000</v>
      </c>
      <c r="F17" s="10" t="s">
        <v>29</v>
      </c>
      <c r="G17" s="10" t="s">
        <v>23</v>
      </c>
      <c r="H17" s="12">
        <v>685000</v>
      </c>
      <c r="I17" s="12">
        <v>307980</v>
      </c>
      <c r="J17" s="13">
        <f>I17/H17*100</f>
        <v>44.96058394160584</v>
      </c>
      <c r="K17" s="12">
        <v>615969</v>
      </c>
      <c r="L17" s="12">
        <f>H17-478755</f>
        <v>206245</v>
      </c>
      <c r="M17" s="12">
        <v>137214</v>
      </c>
      <c r="N17" s="12">
        <f>E17*0.2</f>
        <v>137000</v>
      </c>
      <c r="O17" s="14">
        <v>0.45</v>
      </c>
      <c r="P17" s="12">
        <f>L17/O17</f>
        <v>458322.22222222219</v>
      </c>
      <c r="Q17" s="15">
        <f>L17/O17/43560</f>
        <v>10.521630445872869</v>
      </c>
      <c r="R17" s="15">
        <f>M17/O17/43560</f>
        <v>7</v>
      </c>
      <c r="S17" s="10" t="s">
        <v>24</v>
      </c>
    </row>
    <row r="18" spans="1:19" ht="15.75" thickBot="1" x14ac:dyDescent="0.3">
      <c r="A18" s="16"/>
      <c r="B18" s="16"/>
      <c r="C18" s="16"/>
      <c r="D18" s="17"/>
      <c r="E18" s="18"/>
      <c r="F18" s="16"/>
      <c r="G18" s="16"/>
      <c r="H18" s="18"/>
      <c r="I18" s="18"/>
      <c r="J18" s="19"/>
      <c r="K18" s="18"/>
      <c r="L18" s="18">
        <f>AVERAGE(L14:L17)</f>
        <v>271010</v>
      </c>
      <c r="M18" s="18">
        <f>AVERAGE(M14:M17)</f>
        <v>138295</v>
      </c>
      <c r="N18" s="18">
        <f>AVERAGE(N14:N17)</f>
        <v>136500</v>
      </c>
      <c r="O18" s="20"/>
      <c r="P18" s="18"/>
      <c r="Q18" s="21">
        <f>AVERAGE(Q14:Q17)</f>
        <v>13.711090183690636</v>
      </c>
      <c r="R18" s="21">
        <f>AVERAGE(R14:R17)</f>
        <v>7.0006967735241661</v>
      </c>
      <c r="S18" s="16"/>
    </row>
    <row r="19" spans="1:19" ht="15.75" thickTop="1" x14ac:dyDescent="0.25">
      <c r="A19" s="10"/>
      <c r="B19" s="10"/>
      <c r="C19" s="10"/>
      <c r="D19" s="11"/>
      <c r="E19" s="12"/>
      <c r="F19" s="10"/>
      <c r="G19" s="10"/>
      <c r="H19" s="12"/>
      <c r="I19" s="12"/>
      <c r="J19" s="13"/>
      <c r="K19" s="12"/>
      <c r="L19" s="12"/>
      <c r="M19" s="12"/>
      <c r="N19" s="12"/>
      <c r="O19" s="14"/>
      <c r="P19" s="12"/>
      <c r="Q19" s="15"/>
      <c r="R19" s="15"/>
      <c r="S19" s="10"/>
    </row>
    <row r="20" spans="1:19" x14ac:dyDescent="0.25">
      <c r="A20" s="10"/>
      <c r="B20" s="10"/>
      <c r="C20" s="10"/>
      <c r="D20" s="11"/>
      <c r="E20" s="12"/>
      <c r="F20" s="10"/>
      <c r="G20" s="10"/>
      <c r="H20" s="12"/>
      <c r="I20" s="12"/>
      <c r="J20" s="13"/>
      <c r="K20" s="12"/>
      <c r="L20" s="12"/>
      <c r="M20" s="12"/>
      <c r="N20" s="12"/>
      <c r="O20" s="14"/>
      <c r="P20" s="12"/>
      <c r="Q20" s="15"/>
      <c r="R20" s="15"/>
      <c r="S20" s="10"/>
    </row>
    <row r="21" spans="1:19" x14ac:dyDescent="0.25">
      <c r="A21" s="10" t="s">
        <v>1555</v>
      </c>
      <c r="B21" s="10" t="s">
        <v>1556</v>
      </c>
      <c r="C21" s="10" t="s">
        <v>1557</v>
      </c>
      <c r="D21" s="11">
        <v>45413</v>
      </c>
      <c r="E21" s="12">
        <v>2200000</v>
      </c>
      <c r="F21" s="10" t="s">
        <v>22</v>
      </c>
      <c r="G21" s="10" t="s">
        <v>23</v>
      </c>
      <c r="H21" s="12">
        <v>2200000</v>
      </c>
      <c r="I21" s="12">
        <v>1026030</v>
      </c>
      <c r="J21" s="13">
        <f>I21/H21*100</f>
        <v>46.637727272727275</v>
      </c>
      <c r="K21" s="12">
        <v>2052061</v>
      </c>
      <c r="L21" s="12">
        <f>H21-1582061</f>
        <v>617939</v>
      </c>
      <c r="M21" s="12">
        <v>470000</v>
      </c>
      <c r="N21" s="12">
        <f>E21*0.2</f>
        <v>440000</v>
      </c>
      <c r="O21" s="14">
        <v>0.5</v>
      </c>
      <c r="P21" s="12">
        <f>L21/O21</f>
        <v>1235878</v>
      </c>
      <c r="Q21" s="15">
        <f>L21/O21/43560</f>
        <v>28.371854912764004</v>
      </c>
      <c r="R21" s="15">
        <f>M21/O21/43560</f>
        <v>21.579430670339761</v>
      </c>
      <c r="S21" s="10" t="s">
        <v>97</v>
      </c>
    </row>
    <row r="22" spans="1:19" ht="15.75" thickBot="1" x14ac:dyDescent="0.3">
      <c r="A22" s="16"/>
      <c r="B22" s="16"/>
      <c r="C22" s="16"/>
      <c r="D22" s="17"/>
      <c r="E22" s="18"/>
      <c r="F22" s="16"/>
      <c r="G22" s="16"/>
      <c r="H22" s="18"/>
      <c r="I22" s="18"/>
      <c r="J22" s="19"/>
      <c r="K22" s="18"/>
      <c r="L22" s="18">
        <f>AVERAGE(L21)</f>
        <v>617939</v>
      </c>
      <c r="M22" s="18">
        <f>AVERAGE(M21)</f>
        <v>470000</v>
      </c>
      <c r="N22" s="18">
        <f>AVERAGE(N21)</f>
        <v>440000</v>
      </c>
      <c r="O22" s="20"/>
      <c r="P22" s="18"/>
      <c r="Q22" s="21">
        <f>AVERAGE(Q21)</f>
        <v>28.371854912764004</v>
      </c>
      <c r="R22" s="21">
        <f>AVERAGE(R21)</f>
        <v>21.579430670339761</v>
      </c>
      <c r="S22" s="16"/>
    </row>
    <row r="23" spans="1:19" ht="15.75" thickTop="1" x14ac:dyDescent="0.25">
      <c r="A23" s="10"/>
      <c r="B23" s="10"/>
      <c r="C23" s="10"/>
      <c r="D23" s="11"/>
      <c r="E23" s="12"/>
      <c r="F23" s="10"/>
      <c r="G23" s="10"/>
      <c r="H23" s="12"/>
      <c r="I23" s="12"/>
      <c r="J23" s="13"/>
      <c r="K23" s="12"/>
      <c r="L23" s="12"/>
      <c r="M23" s="12"/>
      <c r="N23" s="12"/>
      <c r="O23" s="14"/>
      <c r="P23" s="12"/>
      <c r="Q23" s="15"/>
      <c r="R23" s="15"/>
      <c r="S23" s="10"/>
    </row>
    <row r="24" spans="1:19" x14ac:dyDescent="0.25">
      <c r="A24" s="10" t="s">
        <v>1558</v>
      </c>
      <c r="B24" s="10" t="s">
        <v>1559</v>
      </c>
      <c r="C24" s="10" t="s">
        <v>1560</v>
      </c>
      <c r="D24" s="11">
        <v>45376</v>
      </c>
      <c r="E24" s="12">
        <v>450000</v>
      </c>
      <c r="F24" s="10" t="s">
        <v>29</v>
      </c>
      <c r="G24" s="10" t="s">
        <v>23</v>
      </c>
      <c r="H24" s="12">
        <v>450000</v>
      </c>
      <c r="I24" s="12">
        <v>238450</v>
      </c>
      <c r="J24" s="13">
        <f t="shared" ref="J24:J33" si="0">I24/H24*100</f>
        <v>52.988888888888887</v>
      </c>
      <c r="K24" s="12">
        <v>476908</v>
      </c>
      <c r="L24" s="12">
        <f>H24-376908</f>
        <v>73092</v>
      </c>
      <c r="M24" s="12">
        <v>100000</v>
      </c>
      <c r="N24" s="12">
        <f t="shared" ref="N24:N33" si="1">E24*0.2</f>
        <v>90000</v>
      </c>
      <c r="O24" s="14">
        <v>1</v>
      </c>
      <c r="P24" s="12">
        <f t="shared" ref="P24:P33" si="2">L24/O24</f>
        <v>73092</v>
      </c>
      <c r="Q24" s="15">
        <f t="shared" ref="Q24:Q33" si="3">L24/O24/43560</f>
        <v>1.677961432506887</v>
      </c>
      <c r="R24" s="15">
        <f t="shared" ref="R24:R33" si="4">M24/O24/43560</f>
        <v>2.2956841138659319</v>
      </c>
      <c r="S24" s="10" t="s">
        <v>97</v>
      </c>
    </row>
    <row r="25" spans="1:19" x14ac:dyDescent="0.25">
      <c r="A25" s="10" t="s">
        <v>1561</v>
      </c>
      <c r="B25" s="10" t="s">
        <v>1562</v>
      </c>
      <c r="C25" s="10" t="s">
        <v>1560</v>
      </c>
      <c r="D25" s="11">
        <v>45230</v>
      </c>
      <c r="E25" s="12">
        <v>426500</v>
      </c>
      <c r="F25" s="10" t="s">
        <v>22</v>
      </c>
      <c r="G25" s="10" t="s">
        <v>23</v>
      </c>
      <c r="H25" s="12">
        <v>426500</v>
      </c>
      <c r="I25" s="12">
        <v>241160</v>
      </c>
      <c r="J25" s="13">
        <f t="shared" si="0"/>
        <v>56.54396248534583</v>
      </c>
      <c r="K25" s="12">
        <v>482320</v>
      </c>
      <c r="L25" s="12">
        <f>H25-382320</f>
        <v>44180</v>
      </c>
      <c r="M25" s="12">
        <v>100000</v>
      </c>
      <c r="N25" s="12">
        <f t="shared" si="1"/>
        <v>85300</v>
      </c>
      <c r="O25" s="14">
        <v>1</v>
      </c>
      <c r="P25" s="12">
        <f t="shared" si="2"/>
        <v>44180</v>
      </c>
      <c r="Q25" s="15">
        <f t="shared" si="3"/>
        <v>1.0142332415059687</v>
      </c>
      <c r="R25" s="15">
        <f t="shared" si="4"/>
        <v>2.2956841138659319</v>
      </c>
      <c r="S25" s="10" t="s">
        <v>97</v>
      </c>
    </row>
    <row r="26" spans="1:19" x14ac:dyDescent="0.25">
      <c r="A26" s="10" t="s">
        <v>1563</v>
      </c>
      <c r="B26" s="10" t="s">
        <v>1564</v>
      </c>
      <c r="C26" s="10" t="s">
        <v>1560</v>
      </c>
      <c r="D26" s="11">
        <v>45506</v>
      </c>
      <c r="E26" s="12">
        <v>600000</v>
      </c>
      <c r="F26" s="10" t="s">
        <v>22</v>
      </c>
      <c r="G26" s="10" t="s">
        <v>23</v>
      </c>
      <c r="H26" s="12">
        <v>600000</v>
      </c>
      <c r="I26" s="12">
        <v>255440</v>
      </c>
      <c r="J26" s="13">
        <f t="shared" si="0"/>
        <v>42.573333333333338</v>
      </c>
      <c r="K26" s="12">
        <v>510876</v>
      </c>
      <c r="L26" s="12">
        <f>H26-410876</f>
        <v>189124</v>
      </c>
      <c r="M26" s="12">
        <v>100000</v>
      </c>
      <c r="N26" s="12">
        <f t="shared" si="1"/>
        <v>120000</v>
      </c>
      <c r="O26" s="14">
        <v>1</v>
      </c>
      <c r="P26" s="12">
        <f t="shared" si="2"/>
        <v>189124</v>
      </c>
      <c r="Q26" s="15">
        <f t="shared" si="3"/>
        <v>4.3416896235078051</v>
      </c>
      <c r="R26" s="15">
        <f t="shared" si="4"/>
        <v>2.2956841138659319</v>
      </c>
      <c r="S26" s="10" t="s">
        <v>97</v>
      </c>
    </row>
    <row r="27" spans="1:19" x14ac:dyDescent="0.25">
      <c r="A27" s="10" t="s">
        <v>1565</v>
      </c>
      <c r="B27" s="10" t="s">
        <v>1566</v>
      </c>
      <c r="C27" s="10" t="s">
        <v>1560</v>
      </c>
      <c r="D27" s="11">
        <v>45380</v>
      </c>
      <c r="E27" s="12">
        <v>405000</v>
      </c>
      <c r="F27" s="10" t="s">
        <v>29</v>
      </c>
      <c r="G27" s="10" t="s">
        <v>23</v>
      </c>
      <c r="H27" s="12">
        <v>405000</v>
      </c>
      <c r="I27" s="12">
        <v>248360</v>
      </c>
      <c r="J27" s="13">
        <f t="shared" si="0"/>
        <v>61.323456790123451</v>
      </c>
      <c r="K27" s="12">
        <v>496713</v>
      </c>
      <c r="L27" s="12">
        <f>H27-396713</f>
        <v>8287</v>
      </c>
      <c r="M27" s="12">
        <v>100000</v>
      </c>
      <c r="N27" s="12">
        <f t="shared" si="1"/>
        <v>81000</v>
      </c>
      <c r="O27" s="14">
        <v>1</v>
      </c>
      <c r="P27" s="12">
        <f t="shared" si="2"/>
        <v>8287</v>
      </c>
      <c r="Q27" s="15">
        <f t="shared" si="3"/>
        <v>0.19024334251606978</v>
      </c>
      <c r="R27" s="15">
        <f t="shared" si="4"/>
        <v>2.2956841138659319</v>
      </c>
      <c r="S27" s="10" t="s">
        <v>97</v>
      </c>
    </row>
    <row r="28" spans="1:19" x14ac:dyDescent="0.25">
      <c r="A28" s="10" t="s">
        <v>1567</v>
      </c>
      <c r="B28" s="10" t="s">
        <v>1568</v>
      </c>
      <c r="C28" s="10" t="s">
        <v>1560</v>
      </c>
      <c r="D28" s="11">
        <v>45530</v>
      </c>
      <c r="E28" s="12">
        <v>645000</v>
      </c>
      <c r="F28" s="10" t="s">
        <v>29</v>
      </c>
      <c r="G28" s="10" t="s">
        <v>23</v>
      </c>
      <c r="H28" s="12">
        <v>645000</v>
      </c>
      <c r="I28" s="12">
        <v>234900</v>
      </c>
      <c r="J28" s="13">
        <f t="shared" si="0"/>
        <v>36.418604651162788</v>
      </c>
      <c r="K28" s="12">
        <v>469809</v>
      </c>
      <c r="L28" s="12">
        <f>H28-369809</f>
        <v>275191</v>
      </c>
      <c r="M28" s="12">
        <v>100000</v>
      </c>
      <c r="N28" s="12">
        <f t="shared" si="1"/>
        <v>129000</v>
      </c>
      <c r="O28" s="14">
        <v>1</v>
      </c>
      <c r="P28" s="12">
        <f t="shared" si="2"/>
        <v>275191</v>
      </c>
      <c r="Q28" s="15">
        <f t="shared" si="3"/>
        <v>6.3175160697887973</v>
      </c>
      <c r="R28" s="15">
        <f t="shared" si="4"/>
        <v>2.2956841138659319</v>
      </c>
      <c r="S28" s="10" t="s">
        <v>97</v>
      </c>
    </row>
    <row r="29" spans="1:19" x14ac:dyDescent="0.25">
      <c r="A29" s="10" t="s">
        <v>1569</v>
      </c>
      <c r="B29" s="10" t="s">
        <v>1570</v>
      </c>
      <c r="C29" s="10" t="s">
        <v>1560</v>
      </c>
      <c r="D29" s="11">
        <v>45604</v>
      </c>
      <c r="E29" s="12">
        <v>450000</v>
      </c>
      <c r="F29" s="10" t="s">
        <v>22</v>
      </c>
      <c r="G29" s="10" t="s">
        <v>23</v>
      </c>
      <c r="H29" s="12">
        <v>450000</v>
      </c>
      <c r="I29" s="12">
        <v>228170</v>
      </c>
      <c r="J29" s="13">
        <f t="shared" si="0"/>
        <v>50.704444444444441</v>
      </c>
      <c r="K29" s="12">
        <v>456347</v>
      </c>
      <c r="L29" s="12">
        <f>H29-356347</f>
        <v>93653</v>
      </c>
      <c r="M29" s="12">
        <v>100000</v>
      </c>
      <c r="N29" s="12">
        <f t="shared" si="1"/>
        <v>90000</v>
      </c>
      <c r="O29" s="14">
        <v>1</v>
      </c>
      <c r="P29" s="12">
        <f t="shared" si="2"/>
        <v>93653</v>
      </c>
      <c r="Q29" s="15">
        <f t="shared" si="3"/>
        <v>2.1499770431588612</v>
      </c>
      <c r="R29" s="15">
        <f t="shared" si="4"/>
        <v>2.2956841138659319</v>
      </c>
      <c r="S29" s="10" t="s">
        <v>97</v>
      </c>
    </row>
    <row r="30" spans="1:19" x14ac:dyDescent="0.25">
      <c r="A30" s="10" t="s">
        <v>1571</v>
      </c>
      <c r="B30" s="10" t="s">
        <v>1572</v>
      </c>
      <c r="C30" s="10" t="s">
        <v>1560</v>
      </c>
      <c r="D30" s="11">
        <v>45436</v>
      </c>
      <c r="E30" s="12">
        <v>425000</v>
      </c>
      <c r="F30" s="10" t="s">
        <v>29</v>
      </c>
      <c r="G30" s="10" t="s">
        <v>23</v>
      </c>
      <c r="H30" s="12">
        <v>425000</v>
      </c>
      <c r="I30" s="12">
        <v>296390</v>
      </c>
      <c r="J30" s="13">
        <f t="shared" si="0"/>
        <v>69.738823529411761</v>
      </c>
      <c r="K30" s="12">
        <v>592771</v>
      </c>
      <c r="L30" s="12">
        <f>H30-467771</f>
        <v>-42771</v>
      </c>
      <c r="M30" s="12">
        <v>125000</v>
      </c>
      <c r="N30" s="12">
        <f t="shared" si="1"/>
        <v>85000</v>
      </c>
      <c r="O30" s="14">
        <v>1</v>
      </c>
      <c r="P30" s="12">
        <f t="shared" si="2"/>
        <v>-42771</v>
      </c>
      <c r="Q30" s="15">
        <f t="shared" si="3"/>
        <v>-0.98188705234159779</v>
      </c>
      <c r="R30" s="15">
        <f t="shared" si="4"/>
        <v>2.8696051423324151</v>
      </c>
      <c r="S30" s="10" t="s">
        <v>97</v>
      </c>
    </row>
    <row r="31" spans="1:19" x14ac:dyDescent="0.25">
      <c r="A31" s="10" t="s">
        <v>1573</v>
      </c>
      <c r="B31" s="10" t="s">
        <v>1574</v>
      </c>
      <c r="C31" s="10" t="s">
        <v>1560</v>
      </c>
      <c r="D31" s="11">
        <v>45441</v>
      </c>
      <c r="E31" s="12">
        <v>575000</v>
      </c>
      <c r="F31" s="10" t="s">
        <v>22</v>
      </c>
      <c r="G31" s="10" t="s">
        <v>23</v>
      </c>
      <c r="H31" s="12">
        <v>575000</v>
      </c>
      <c r="I31" s="12">
        <v>252920</v>
      </c>
      <c r="J31" s="13">
        <f t="shared" si="0"/>
        <v>43.986086956521739</v>
      </c>
      <c r="K31" s="12">
        <v>505835</v>
      </c>
      <c r="L31" s="12">
        <f>H31-380835</f>
        <v>194165</v>
      </c>
      <c r="M31" s="12">
        <v>125000</v>
      </c>
      <c r="N31" s="12">
        <f t="shared" si="1"/>
        <v>115000</v>
      </c>
      <c r="O31" s="14">
        <v>1</v>
      </c>
      <c r="P31" s="12">
        <f t="shared" si="2"/>
        <v>194165</v>
      </c>
      <c r="Q31" s="15">
        <f t="shared" si="3"/>
        <v>4.4574150596877873</v>
      </c>
      <c r="R31" s="15">
        <f t="shared" si="4"/>
        <v>2.8696051423324151</v>
      </c>
      <c r="S31" s="10" t="s">
        <v>97</v>
      </c>
    </row>
    <row r="32" spans="1:19" x14ac:dyDescent="0.25">
      <c r="A32" s="10" t="s">
        <v>1575</v>
      </c>
      <c r="B32" s="10" t="s">
        <v>1576</v>
      </c>
      <c r="C32" s="10" t="s">
        <v>1560</v>
      </c>
      <c r="D32" s="11">
        <v>45334</v>
      </c>
      <c r="E32" s="12">
        <v>486000</v>
      </c>
      <c r="F32" s="10" t="s">
        <v>22</v>
      </c>
      <c r="G32" s="10" t="s">
        <v>23</v>
      </c>
      <c r="H32" s="12">
        <v>486000</v>
      </c>
      <c r="I32" s="12">
        <v>213770</v>
      </c>
      <c r="J32" s="13">
        <f t="shared" si="0"/>
        <v>43.985596707818928</v>
      </c>
      <c r="K32" s="12">
        <v>427541</v>
      </c>
      <c r="L32" s="12">
        <f>H32-302541</f>
        <v>183459</v>
      </c>
      <c r="M32" s="12">
        <v>125000</v>
      </c>
      <c r="N32" s="12">
        <f t="shared" si="1"/>
        <v>97200</v>
      </c>
      <c r="O32" s="14">
        <v>1</v>
      </c>
      <c r="P32" s="12">
        <f t="shared" si="2"/>
        <v>183459</v>
      </c>
      <c r="Q32" s="15">
        <f t="shared" si="3"/>
        <v>4.2116391184572999</v>
      </c>
      <c r="R32" s="15">
        <f t="shared" si="4"/>
        <v>2.8696051423324151</v>
      </c>
      <c r="S32" s="10" t="s">
        <v>97</v>
      </c>
    </row>
    <row r="33" spans="1:19" x14ac:dyDescent="0.25">
      <c r="A33" s="10" t="s">
        <v>1577</v>
      </c>
      <c r="B33" s="10" t="s">
        <v>1578</v>
      </c>
      <c r="C33" s="10" t="s">
        <v>1560</v>
      </c>
      <c r="D33" s="11">
        <v>45124</v>
      </c>
      <c r="E33" s="12">
        <v>485000</v>
      </c>
      <c r="F33" s="10" t="s">
        <v>22</v>
      </c>
      <c r="G33" s="10" t="s">
        <v>23</v>
      </c>
      <c r="H33" s="12">
        <v>485000</v>
      </c>
      <c r="I33" s="12">
        <v>219410</v>
      </c>
      <c r="J33" s="13">
        <f t="shared" si="0"/>
        <v>45.239175257731958</v>
      </c>
      <c r="K33" s="12">
        <v>438826</v>
      </c>
      <c r="L33" s="12">
        <f>H33-313826</f>
        <v>171174</v>
      </c>
      <c r="M33" s="12">
        <v>125000</v>
      </c>
      <c r="N33" s="12">
        <f t="shared" si="1"/>
        <v>97000</v>
      </c>
      <c r="O33" s="14">
        <v>1</v>
      </c>
      <c r="P33" s="12">
        <f t="shared" si="2"/>
        <v>171174</v>
      </c>
      <c r="Q33" s="15">
        <f t="shared" si="3"/>
        <v>3.9296143250688704</v>
      </c>
      <c r="R33" s="15">
        <f t="shared" si="4"/>
        <v>2.8696051423324151</v>
      </c>
      <c r="S33" s="10" t="s">
        <v>97</v>
      </c>
    </row>
    <row r="34" spans="1:19" ht="15.75" thickBot="1" x14ac:dyDescent="0.3">
      <c r="A34" s="16"/>
      <c r="B34" s="16"/>
      <c r="C34" s="16"/>
      <c r="D34" s="17"/>
      <c r="E34" s="18"/>
      <c r="F34" s="16"/>
      <c r="G34" s="16"/>
      <c r="H34" s="18"/>
      <c r="I34" s="18"/>
      <c r="J34" s="19"/>
      <c r="K34" s="18"/>
      <c r="L34" s="18">
        <f>AVERAGE(L24:L33)</f>
        <v>118955.4</v>
      </c>
      <c r="M34" s="18">
        <f>AVERAGE(M24:M33)</f>
        <v>110000</v>
      </c>
      <c r="N34" s="18">
        <f>AVERAGE(N24:N33)</f>
        <v>98950</v>
      </c>
      <c r="O34" s="20"/>
      <c r="P34" s="18"/>
      <c r="Q34" s="21">
        <f>AVERAGE(Q24:Q33)</f>
        <v>2.7308402203856752</v>
      </c>
      <c r="R34" s="21">
        <f>AVERAGE(R24:R33)</f>
        <v>2.5252525252525251</v>
      </c>
      <c r="S34" s="16"/>
    </row>
    <row r="35" spans="1:19" ht="15.75" thickTop="1" x14ac:dyDescent="0.25">
      <c r="A35" s="10"/>
      <c r="B35" s="10"/>
      <c r="C35" s="10"/>
      <c r="D35" s="11"/>
      <c r="E35" s="12"/>
      <c r="F35" s="10"/>
      <c r="G35" s="10"/>
      <c r="H35" s="12"/>
      <c r="I35" s="12"/>
      <c r="J35" s="13"/>
      <c r="K35" s="12"/>
      <c r="L35" s="12"/>
      <c r="M35" s="12"/>
      <c r="N35" s="12"/>
      <c r="O35" s="14"/>
      <c r="P35" s="12"/>
      <c r="Q35" s="15"/>
      <c r="R35" s="15"/>
      <c r="S35" s="10"/>
    </row>
    <row r="36" spans="1:19" x14ac:dyDescent="0.25">
      <c r="A36" s="10"/>
      <c r="B36" s="10"/>
      <c r="C36" s="10"/>
      <c r="D36" s="11"/>
      <c r="E36" s="12"/>
      <c r="F36" s="10"/>
      <c r="G36" s="10"/>
      <c r="H36" s="12"/>
      <c r="I36" s="12"/>
      <c r="J36" s="13"/>
      <c r="K36" s="12"/>
      <c r="L36" s="12"/>
      <c r="M36" s="12"/>
      <c r="N36" s="12"/>
      <c r="O36" s="14"/>
      <c r="P36" s="12"/>
      <c r="Q36" s="15"/>
      <c r="R36" s="15"/>
      <c r="S36" s="10"/>
    </row>
    <row r="37" spans="1:19" x14ac:dyDescent="0.25">
      <c r="A37" s="10" t="s">
        <v>1579</v>
      </c>
      <c r="B37" s="10" t="s">
        <v>1580</v>
      </c>
      <c r="C37" s="10" t="s">
        <v>1581</v>
      </c>
      <c r="D37" s="11">
        <v>45373</v>
      </c>
      <c r="E37" s="12">
        <v>473800</v>
      </c>
      <c r="F37" s="10" t="s">
        <v>29</v>
      </c>
      <c r="G37" s="10" t="s">
        <v>23</v>
      </c>
      <c r="H37" s="12">
        <v>473800</v>
      </c>
      <c r="I37" s="12">
        <v>215450</v>
      </c>
      <c r="J37" s="13">
        <f t="shared" ref="J37:J44" si="5">I37/H37*100</f>
        <v>45.472773322076826</v>
      </c>
      <c r="K37" s="12">
        <v>430893</v>
      </c>
      <c r="L37" s="12">
        <f>H37-345893</f>
        <v>127907</v>
      </c>
      <c r="M37" s="12">
        <v>85000</v>
      </c>
      <c r="N37" s="12">
        <f t="shared" ref="N37:N44" si="6">E37*0.2</f>
        <v>94760</v>
      </c>
      <c r="O37" s="14">
        <v>1</v>
      </c>
      <c r="P37" s="12">
        <f t="shared" ref="P37:P44" si="7">L37/O37</f>
        <v>127907</v>
      </c>
      <c r="Q37" s="15">
        <f t="shared" ref="Q37:Q44" si="8">L37/O37/43560</f>
        <v>2.9363406795224978</v>
      </c>
      <c r="R37" s="15">
        <f t="shared" ref="R37:R44" si="9">M37/O37/43560</f>
        <v>1.9513314967860422</v>
      </c>
      <c r="S37" s="10" t="s">
        <v>97</v>
      </c>
    </row>
    <row r="38" spans="1:19" x14ac:dyDescent="0.25">
      <c r="A38" s="10" t="s">
        <v>1582</v>
      </c>
      <c r="B38" s="10" t="s">
        <v>1583</v>
      </c>
      <c r="C38" s="10" t="s">
        <v>1581</v>
      </c>
      <c r="D38" s="11">
        <v>45160</v>
      </c>
      <c r="E38" s="12">
        <v>485000</v>
      </c>
      <c r="F38" s="10" t="s">
        <v>29</v>
      </c>
      <c r="G38" s="10" t="s">
        <v>23</v>
      </c>
      <c r="H38" s="12">
        <v>485000</v>
      </c>
      <c r="I38" s="12">
        <v>217880</v>
      </c>
      <c r="J38" s="13">
        <f t="shared" si="5"/>
        <v>44.923711340206182</v>
      </c>
      <c r="K38" s="12">
        <v>435762</v>
      </c>
      <c r="L38" s="12">
        <f>H38-350762</f>
        <v>134238</v>
      </c>
      <c r="M38" s="12">
        <v>85000</v>
      </c>
      <c r="N38" s="12">
        <f t="shared" si="6"/>
        <v>97000</v>
      </c>
      <c r="O38" s="14">
        <v>1</v>
      </c>
      <c r="P38" s="12">
        <f t="shared" si="7"/>
        <v>134238</v>
      </c>
      <c r="Q38" s="15">
        <f t="shared" si="8"/>
        <v>3.0816804407713501</v>
      </c>
      <c r="R38" s="15">
        <f t="shared" si="9"/>
        <v>1.9513314967860422</v>
      </c>
      <c r="S38" s="10" t="s">
        <v>97</v>
      </c>
    </row>
    <row r="39" spans="1:19" x14ac:dyDescent="0.25">
      <c r="A39" s="10" t="s">
        <v>1584</v>
      </c>
      <c r="B39" s="10" t="s">
        <v>1585</v>
      </c>
      <c r="C39" s="10" t="s">
        <v>1581</v>
      </c>
      <c r="D39" s="11">
        <v>45412</v>
      </c>
      <c r="E39" s="12">
        <v>425000</v>
      </c>
      <c r="F39" s="10" t="s">
        <v>22</v>
      </c>
      <c r="G39" s="10" t="s">
        <v>23</v>
      </c>
      <c r="H39" s="12">
        <v>425000</v>
      </c>
      <c r="I39" s="12">
        <v>180410</v>
      </c>
      <c r="J39" s="13">
        <f t="shared" si="5"/>
        <v>42.449411764705879</v>
      </c>
      <c r="K39" s="12">
        <v>360811</v>
      </c>
      <c r="L39" s="12">
        <f>H39-275811</f>
        <v>149189</v>
      </c>
      <c r="M39" s="12">
        <v>85000</v>
      </c>
      <c r="N39" s="12">
        <f t="shared" si="6"/>
        <v>85000</v>
      </c>
      <c r="O39" s="14">
        <v>1</v>
      </c>
      <c r="P39" s="12">
        <f t="shared" si="7"/>
        <v>149189</v>
      </c>
      <c r="Q39" s="15">
        <f t="shared" si="8"/>
        <v>3.4249081726354453</v>
      </c>
      <c r="R39" s="15">
        <f t="shared" si="9"/>
        <v>1.9513314967860422</v>
      </c>
      <c r="S39" s="10" t="s">
        <v>97</v>
      </c>
    </row>
    <row r="40" spans="1:19" x14ac:dyDescent="0.25">
      <c r="A40" s="10" t="s">
        <v>1586</v>
      </c>
      <c r="B40" s="10" t="s">
        <v>1587</v>
      </c>
      <c r="C40" s="10" t="s">
        <v>1581</v>
      </c>
      <c r="D40" s="11">
        <v>45681</v>
      </c>
      <c r="E40" s="12">
        <v>398400</v>
      </c>
      <c r="F40" s="10" t="s">
        <v>29</v>
      </c>
      <c r="G40" s="10" t="s">
        <v>23</v>
      </c>
      <c r="H40" s="12">
        <v>398400</v>
      </c>
      <c r="I40" s="12">
        <v>192940</v>
      </c>
      <c r="J40" s="13">
        <f t="shared" si="5"/>
        <v>48.428714859437747</v>
      </c>
      <c r="K40" s="12">
        <v>385871</v>
      </c>
      <c r="L40" s="12">
        <f>H40-300871</f>
        <v>97529</v>
      </c>
      <c r="M40" s="12">
        <v>85000</v>
      </c>
      <c r="N40" s="12">
        <f t="shared" si="6"/>
        <v>79680</v>
      </c>
      <c r="O40" s="14">
        <v>1</v>
      </c>
      <c r="P40" s="12">
        <f t="shared" si="7"/>
        <v>97529</v>
      </c>
      <c r="Q40" s="15">
        <f t="shared" si="8"/>
        <v>2.2389577594123047</v>
      </c>
      <c r="R40" s="15">
        <f t="shared" si="9"/>
        <v>1.9513314967860422</v>
      </c>
      <c r="S40" s="10" t="s">
        <v>97</v>
      </c>
    </row>
    <row r="41" spans="1:19" x14ac:dyDescent="0.25">
      <c r="A41" s="10" t="s">
        <v>1588</v>
      </c>
      <c r="B41" s="10" t="s">
        <v>1589</v>
      </c>
      <c r="C41" s="10" t="s">
        <v>1581</v>
      </c>
      <c r="D41" s="11">
        <v>45435</v>
      </c>
      <c r="E41" s="12">
        <v>401277</v>
      </c>
      <c r="F41" s="10" t="s">
        <v>22</v>
      </c>
      <c r="G41" s="10" t="s">
        <v>23</v>
      </c>
      <c r="H41" s="12">
        <v>401277</v>
      </c>
      <c r="I41" s="12">
        <v>166140</v>
      </c>
      <c r="J41" s="13">
        <f t="shared" si="5"/>
        <v>41.402821492385563</v>
      </c>
      <c r="K41" s="12">
        <v>332271</v>
      </c>
      <c r="L41" s="12">
        <f>H41-247271</f>
        <v>154006</v>
      </c>
      <c r="M41" s="12">
        <v>85000</v>
      </c>
      <c r="N41" s="12">
        <f t="shared" si="6"/>
        <v>80255.400000000009</v>
      </c>
      <c r="O41" s="14">
        <v>1</v>
      </c>
      <c r="P41" s="12">
        <f t="shared" si="7"/>
        <v>154006</v>
      </c>
      <c r="Q41" s="15">
        <f t="shared" si="8"/>
        <v>3.5354912764003674</v>
      </c>
      <c r="R41" s="15">
        <f t="shared" si="9"/>
        <v>1.9513314967860422</v>
      </c>
      <c r="S41" s="10" t="s">
        <v>97</v>
      </c>
    </row>
    <row r="42" spans="1:19" x14ac:dyDescent="0.25">
      <c r="A42" s="10" t="s">
        <v>1590</v>
      </c>
      <c r="B42" s="10" t="s">
        <v>1591</v>
      </c>
      <c r="C42" s="10" t="s">
        <v>1581</v>
      </c>
      <c r="D42" s="11">
        <v>45551</v>
      </c>
      <c r="E42" s="12">
        <v>405000</v>
      </c>
      <c r="F42" s="10" t="s">
        <v>22</v>
      </c>
      <c r="G42" s="10" t="s">
        <v>23</v>
      </c>
      <c r="H42" s="12">
        <v>405000</v>
      </c>
      <c r="I42" s="12">
        <v>175360</v>
      </c>
      <c r="J42" s="13">
        <f t="shared" si="5"/>
        <v>43.298765432098769</v>
      </c>
      <c r="K42" s="12">
        <v>350723</v>
      </c>
      <c r="L42" s="12">
        <f>H42-265723</f>
        <v>139277</v>
      </c>
      <c r="M42" s="12">
        <v>85000</v>
      </c>
      <c r="N42" s="12">
        <f t="shared" si="6"/>
        <v>81000</v>
      </c>
      <c r="O42" s="14">
        <v>1</v>
      </c>
      <c r="P42" s="12">
        <f t="shared" si="7"/>
        <v>139277</v>
      </c>
      <c r="Q42" s="15">
        <f t="shared" si="8"/>
        <v>3.1973599632690544</v>
      </c>
      <c r="R42" s="15">
        <f t="shared" si="9"/>
        <v>1.9513314967860422</v>
      </c>
      <c r="S42" s="10" t="s">
        <v>97</v>
      </c>
    </row>
    <row r="43" spans="1:19" x14ac:dyDescent="0.25">
      <c r="A43" s="10" t="s">
        <v>1590</v>
      </c>
      <c r="B43" s="10" t="s">
        <v>1591</v>
      </c>
      <c r="C43" s="10" t="s">
        <v>1581</v>
      </c>
      <c r="D43" s="11">
        <v>45665</v>
      </c>
      <c r="E43" s="12">
        <v>615000</v>
      </c>
      <c r="F43" s="10" t="s">
        <v>29</v>
      </c>
      <c r="G43" s="10" t="s">
        <v>23</v>
      </c>
      <c r="H43" s="12">
        <v>615000</v>
      </c>
      <c r="I43" s="12">
        <v>184520</v>
      </c>
      <c r="J43" s="13">
        <f t="shared" si="5"/>
        <v>30.003252032520329</v>
      </c>
      <c r="K43" s="12">
        <v>369049</v>
      </c>
      <c r="L43" s="12">
        <f>H43-284049</f>
        <v>330951</v>
      </c>
      <c r="M43" s="12">
        <v>85000</v>
      </c>
      <c r="N43" s="12">
        <f t="shared" si="6"/>
        <v>123000</v>
      </c>
      <c r="O43" s="14">
        <v>1</v>
      </c>
      <c r="P43" s="12">
        <f t="shared" si="7"/>
        <v>330951</v>
      </c>
      <c r="Q43" s="15">
        <f t="shared" si="8"/>
        <v>7.5975895316804412</v>
      </c>
      <c r="R43" s="15">
        <f t="shared" si="9"/>
        <v>1.9513314967860422</v>
      </c>
      <c r="S43" s="10" t="s">
        <v>97</v>
      </c>
    </row>
    <row r="44" spans="1:19" x14ac:dyDescent="0.25">
      <c r="A44" s="10" t="s">
        <v>1592</v>
      </c>
      <c r="B44" s="10" t="s">
        <v>1593</v>
      </c>
      <c r="C44" s="10" t="s">
        <v>1581</v>
      </c>
      <c r="D44" s="11">
        <v>45449</v>
      </c>
      <c r="E44" s="12">
        <v>320000</v>
      </c>
      <c r="F44" s="10" t="s">
        <v>29</v>
      </c>
      <c r="G44" s="10" t="s">
        <v>23</v>
      </c>
      <c r="H44" s="12">
        <v>320000</v>
      </c>
      <c r="I44" s="12">
        <v>165430</v>
      </c>
      <c r="J44" s="13">
        <f t="shared" si="5"/>
        <v>51.696874999999999</v>
      </c>
      <c r="K44" s="12">
        <v>330854</v>
      </c>
      <c r="L44" s="12">
        <f>H44-245854</f>
        <v>74146</v>
      </c>
      <c r="M44" s="12">
        <v>85000</v>
      </c>
      <c r="N44" s="12">
        <f t="shared" si="6"/>
        <v>64000</v>
      </c>
      <c r="O44" s="14">
        <v>1</v>
      </c>
      <c r="P44" s="12">
        <f t="shared" si="7"/>
        <v>74146</v>
      </c>
      <c r="Q44" s="15">
        <f t="shared" si="8"/>
        <v>1.7021579430670339</v>
      </c>
      <c r="R44" s="15">
        <f t="shared" si="9"/>
        <v>1.9513314967860422</v>
      </c>
      <c r="S44" s="10" t="s">
        <v>97</v>
      </c>
    </row>
    <row r="45" spans="1:19" ht="15.75" thickBot="1" x14ac:dyDescent="0.3">
      <c r="A45" s="16"/>
      <c r="B45" s="16"/>
      <c r="C45" s="16"/>
      <c r="D45" s="17"/>
      <c r="E45" s="18"/>
      <c r="F45" s="16"/>
      <c r="G45" s="16"/>
      <c r="H45" s="18"/>
      <c r="I45" s="18"/>
      <c r="J45" s="19"/>
      <c r="K45" s="18"/>
      <c r="L45" s="18">
        <f>AVERAGE(L37:L44)</f>
        <v>150905.375</v>
      </c>
      <c r="M45" s="18">
        <f>AVERAGE(M37:M44)</f>
        <v>85000</v>
      </c>
      <c r="N45" s="18">
        <f>AVERAGE(N37:N44)</f>
        <v>88086.925000000003</v>
      </c>
      <c r="O45" s="20"/>
      <c r="P45" s="18"/>
      <c r="Q45" s="21">
        <f>AVERAGE(Q37:Q44)</f>
        <v>3.4643107208448116</v>
      </c>
      <c r="R45" s="21">
        <f>AVERAGE(R37:R44)</f>
        <v>1.9513314967860427</v>
      </c>
      <c r="S45" s="16"/>
    </row>
    <row r="46" spans="1:19" ht="15.75" thickTop="1" x14ac:dyDescent="0.25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B6F4F-FC9B-4846-AFB9-0B6820AAFD4D}">
  <dimension ref="A1:S64"/>
  <sheetViews>
    <sheetView topLeftCell="A17" workbookViewId="0">
      <selection activeCell="A53" sqref="A53:XFD53"/>
    </sheetView>
  </sheetViews>
  <sheetFormatPr defaultRowHeight="15" x14ac:dyDescent="0.25"/>
  <cols>
    <col min="1" max="1" width="12.42578125" bestFit="1" customWidth="1"/>
    <col min="2" max="2" width="19.5703125" bestFit="1" customWidth="1"/>
    <col min="3" max="3" width="12.5703125" bestFit="1" customWidth="1"/>
    <col min="7" max="7" width="13.14062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180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1594</v>
      </c>
      <c r="B2" s="10" t="s">
        <v>1595</v>
      </c>
      <c r="C2" s="10" t="s">
        <v>1596</v>
      </c>
      <c r="D2" s="11">
        <v>45744</v>
      </c>
      <c r="E2" s="12">
        <v>433000</v>
      </c>
      <c r="F2" s="10" t="s">
        <v>22</v>
      </c>
      <c r="G2" s="10" t="s">
        <v>23</v>
      </c>
      <c r="H2" s="12">
        <v>433000</v>
      </c>
      <c r="I2" s="12">
        <v>266010</v>
      </c>
      <c r="J2" s="13">
        <f t="shared" ref="J2:J11" si="0">I2/H2*100</f>
        <v>61.434180138568131</v>
      </c>
      <c r="K2" s="12">
        <v>532012</v>
      </c>
      <c r="L2" s="12">
        <f>H2-368248</f>
        <v>64752</v>
      </c>
      <c r="M2" s="12">
        <v>163764</v>
      </c>
      <c r="N2" s="12">
        <f t="shared" ref="N2:N11" si="1">E2*0.2</f>
        <v>86600</v>
      </c>
      <c r="O2" s="14">
        <v>1.1439999999999999</v>
      </c>
      <c r="P2" s="12">
        <f t="shared" ref="P2:P11" si="2">L2/O2</f>
        <v>56601.398601398607</v>
      </c>
      <c r="Q2" s="15">
        <f t="shared" ref="Q2:Q11" si="3">L2/O2/43560</f>
        <v>1.2993893159182417</v>
      </c>
      <c r="R2" s="15">
        <f t="shared" ref="R2:R11" si="4">M2/O2/43560</f>
        <v>3.2862798358666132</v>
      </c>
      <c r="S2" s="10" t="s">
        <v>24</v>
      </c>
    </row>
    <row r="3" spans="1:19" x14ac:dyDescent="0.25">
      <c r="A3" s="10" t="s">
        <v>1597</v>
      </c>
      <c r="B3" s="10" t="s">
        <v>1598</v>
      </c>
      <c r="C3" s="10" t="s">
        <v>1596</v>
      </c>
      <c r="D3" s="11">
        <v>45321</v>
      </c>
      <c r="E3" s="12">
        <v>1150000</v>
      </c>
      <c r="F3" s="10" t="s">
        <v>22</v>
      </c>
      <c r="G3" s="10" t="s">
        <v>23</v>
      </c>
      <c r="H3" s="12">
        <v>1150000</v>
      </c>
      <c r="I3" s="12">
        <v>584420</v>
      </c>
      <c r="J3" s="13">
        <f t="shared" si="0"/>
        <v>50.819130434782608</v>
      </c>
      <c r="K3" s="12">
        <v>1168838</v>
      </c>
      <c r="L3" s="12">
        <f>H3-1011008</f>
        <v>138992</v>
      </c>
      <c r="M3" s="12">
        <v>157830</v>
      </c>
      <c r="N3" s="12">
        <f t="shared" si="1"/>
        <v>230000</v>
      </c>
      <c r="O3" s="14">
        <v>0.94899999999999995</v>
      </c>
      <c r="P3" s="12">
        <f t="shared" si="2"/>
        <v>146461.53846153847</v>
      </c>
      <c r="Q3" s="15">
        <f t="shared" si="3"/>
        <v>3.3622942713851804</v>
      </c>
      <c r="R3" s="15">
        <f t="shared" si="4"/>
        <v>3.8179960346834569</v>
      </c>
      <c r="S3" s="10" t="s">
        <v>24</v>
      </c>
    </row>
    <row r="4" spans="1:19" x14ac:dyDescent="0.25">
      <c r="A4" s="10" t="s">
        <v>1599</v>
      </c>
      <c r="B4" s="10" t="s">
        <v>1600</v>
      </c>
      <c r="C4" s="10" t="s">
        <v>1596</v>
      </c>
      <c r="D4" s="11">
        <v>45622</v>
      </c>
      <c r="E4" s="12">
        <v>1960000</v>
      </c>
      <c r="F4" s="10" t="s">
        <v>22</v>
      </c>
      <c r="G4" s="10" t="s">
        <v>23</v>
      </c>
      <c r="H4" s="12">
        <v>1960000</v>
      </c>
      <c r="I4" s="12">
        <v>815000</v>
      </c>
      <c r="J4" s="13">
        <f t="shared" si="0"/>
        <v>41.58163265306122</v>
      </c>
      <c r="K4" s="12">
        <v>1630009</v>
      </c>
      <c r="L4" s="12">
        <f>H4-1467291</f>
        <v>492709</v>
      </c>
      <c r="M4" s="12">
        <v>162718</v>
      </c>
      <c r="N4" s="12">
        <f t="shared" si="1"/>
        <v>392000</v>
      </c>
      <c r="O4" s="14">
        <v>1.0960000000000001</v>
      </c>
      <c r="P4" s="12">
        <f t="shared" si="2"/>
        <v>449552.00729927002</v>
      </c>
      <c r="Q4" s="15">
        <f t="shared" si="3"/>
        <v>10.320294015134756</v>
      </c>
      <c r="R4" s="15">
        <f t="shared" si="4"/>
        <v>3.4082949602193131</v>
      </c>
      <c r="S4" s="10" t="s">
        <v>24</v>
      </c>
    </row>
    <row r="5" spans="1:19" x14ac:dyDescent="0.25">
      <c r="A5" s="10" t="s">
        <v>1601</v>
      </c>
      <c r="B5" s="10" t="s">
        <v>1602</v>
      </c>
      <c r="C5" s="10" t="s">
        <v>1596</v>
      </c>
      <c r="D5" s="11">
        <v>45611</v>
      </c>
      <c r="E5" s="12">
        <v>1250000</v>
      </c>
      <c r="F5" s="10" t="s">
        <v>29</v>
      </c>
      <c r="G5" s="10" t="s">
        <v>23</v>
      </c>
      <c r="H5" s="12">
        <v>1250000</v>
      </c>
      <c r="I5" s="12">
        <v>391520</v>
      </c>
      <c r="J5" s="13">
        <f t="shared" si="0"/>
        <v>31.3216</v>
      </c>
      <c r="K5" s="12">
        <v>783049</v>
      </c>
      <c r="L5" s="12">
        <f>H5-620309</f>
        <v>629691</v>
      </c>
      <c r="M5" s="12">
        <v>162740</v>
      </c>
      <c r="N5" s="12">
        <f t="shared" si="1"/>
        <v>250000</v>
      </c>
      <c r="O5" s="14">
        <v>1.097</v>
      </c>
      <c r="P5" s="12">
        <f t="shared" si="2"/>
        <v>574011.85050136736</v>
      </c>
      <c r="Q5" s="15">
        <f t="shared" si="3"/>
        <v>13.177498863667754</v>
      </c>
      <c r="R5" s="15">
        <f t="shared" si="4"/>
        <v>3.4056484292665616</v>
      </c>
      <c r="S5" s="10" t="s">
        <v>24</v>
      </c>
    </row>
    <row r="6" spans="1:19" x14ac:dyDescent="0.25">
      <c r="A6" s="10" t="s">
        <v>1603</v>
      </c>
      <c r="B6" s="10" t="s">
        <v>1604</v>
      </c>
      <c r="C6" s="10" t="s">
        <v>1596</v>
      </c>
      <c r="D6" s="11">
        <v>45516</v>
      </c>
      <c r="E6" s="12">
        <v>1471000</v>
      </c>
      <c r="F6" s="10" t="s">
        <v>29</v>
      </c>
      <c r="G6" s="10" t="s">
        <v>23</v>
      </c>
      <c r="H6" s="12">
        <v>1471000</v>
      </c>
      <c r="I6" s="12">
        <v>486660</v>
      </c>
      <c r="J6" s="13">
        <f t="shared" si="0"/>
        <v>33.083616587355543</v>
      </c>
      <c r="K6" s="12">
        <v>973313</v>
      </c>
      <c r="L6" s="12">
        <f>H6-832963</f>
        <v>638037</v>
      </c>
      <c r="M6" s="12">
        <v>140350</v>
      </c>
      <c r="N6" s="12">
        <f t="shared" si="1"/>
        <v>294200</v>
      </c>
      <c r="O6" s="14">
        <v>0.69899999999999995</v>
      </c>
      <c r="P6" s="12">
        <f t="shared" si="2"/>
        <v>912785.40772532194</v>
      </c>
      <c r="Q6" s="15">
        <f t="shared" si="3"/>
        <v>20.954669598836592</v>
      </c>
      <c r="R6" s="15">
        <f t="shared" si="4"/>
        <v>4.6094315505162173</v>
      </c>
      <c r="S6" s="10" t="s">
        <v>24</v>
      </c>
    </row>
    <row r="7" spans="1:19" x14ac:dyDescent="0.25">
      <c r="A7" s="10" t="s">
        <v>1605</v>
      </c>
      <c r="B7" s="10" t="s">
        <v>1606</v>
      </c>
      <c r="C7" s="10" t="s">
        <v>1596</v>
      </c>
      <c r="D7" s="11">
        <v>45401</v>
      </c>
      <c r="E7" s="12">
        <v>740000</v>
      </c>
      <c r="F7" s="10" t="s">
        <v>29</v>
      </c>
      <c r="G7" s="10" t="s">
        <v>23</v>
      </c>
      <c r="H7" s="12">
        <v>740000</v>
      </c>
      <c r="I7" s="12">
        <v>301300</v>
      </c>
      <c r="J7" s="13">
        <f t="shared" si="0"/>
        <v>40.716216216216218</v>
      </c>
      <c r="K7" s="12">
        <v>602607</v>
      </c>
      <c r="L7" s="12">
        <f>H7-454220</f>
        <v>285780</v>
      </c>
      <c r="M7" s="12">
        <v>148387</v>
      </c>
      <c r="N7" s="12">
        <f t="shared" si="1"/>
        <v>148000</v>
      </c>
      <c r="O7" s="14">
        <v>1.1950000000000001</v>
      </c>
      <c r="P7" s="12">
        <f t="shared" si="2"/>
        <v>239146.44351464434</v>
      </c>
      <c r="Q7" s="15">
        <f t="shared" si="3"/>
        <v>5.4900469126410547</v>
      </c>
      <c r="R7" s="15">
        <f t="shared" si="4"/>
        <v>2.8506249255583604</v>
      </c>
      <c r="S7" s="10" t="s">
        <v>24</v>
      </c>
    </row>
    <row r="8" spans="1:19" x14ac:dyDescent="0.25">
      <c r="A8" s="10" t="s">
        <v>1607</v>
      </c>
      <c r="B8" s="10" t="s">
        <v>1608</v>
      </c>
      <c r="C8" s="10" t="s">
        <v>1596</v>
      </c>
      <c r="D8" s="11">
        <v>45117</v>
      </c>
      <c r="E8" s="12">
        <v>630000</v>
      </c>
      <c r="F8" s="10" t="s">
        <v>29</v>
      </c>
      <c r="G8" s="10" t="s">
        <v>23</v>
      </c>
      <c r="H8" s="12">
        <v>630000</v>
      </c>
      <c r="I8" s="12">
        <v>285390</v>
      </c>
      <c r="J8" s="13">
        <f t="shared" si="0"/>
        <v>45.300000000000004</v>
      </c>
      <c r="K8" s="12">
        <v>570774</v>
      </c>
      <c r="L8" s="12">
        <f>H8-439441</f>
        <v>190559</v>
      </c>
      <c r="M8" s="12">
        <v>131333</v>
      </c>
      <c r="N8" s="12">
        <f t="shared" si="1"/>
        <v>126000</v>
      </c>
      <c r="O8" s="14">
        <v>0.63</v>
      </c>
      <c r="P8" s="12">
        <f t="shared" si="2"/>
        <v>302474.60317460319</v>
      </c>
      <c r="Q8" s="15">
        <f t="shared" si="3"/>
        <v>6.943861413558384</v>
      </c>
      <c r="R8" s="15">
        <f t="shared" si="4"/>
        <v>4.7856997099421337</v>
      </c>
      <c r="S8" s="10" t="s">
        <v>24</v>
      </c>
    </row>
    <row r="9" spans="1:19" x14ac:dyDescent="0.25">
      <c r="A9" s="10" t="s">
        <v>1609</v>
      </c>
      <c r="B9" s="10" t="s">
        <v>1610</v>
      </c>
      <c r="C9" s="10" t="s">
        <v>1596</v>
      </c>
      <c r="D9" s="11">
        <v>45211</v>
      </c>
      <c r="E9" s="12">
        <v>750000</v>
      </c>
      <c r="F9" s="10" t="s">
        <v>29</v>
      </c>
      <c r="G9" s="10" t="s">
        <v>23</v>
      </c>
      <c r="H9" s="12">
        <v>750000</v>
      </c>
      <c r="I9" s="12">
        <v>389520</v>
      </c>
      <c r="J9" s="13">
        <f t="shared" si="0"/>
        <v>51.936000000000007</v>
      </c>
      <c r="K9" s="12">
        <v>779032</v>
      </c>
      <c r="L9" s="12">
        <f>H9-606338</f>
        <v>143662</v>
      </c>
      <c r="M9" s="12">
        <v>172694</v>
      </c>
      <c r="N9" s="12">
        <f t="shared" si="1"/>
        <v>150000</v>
      </c>
      <c r="O9" s="14">
        <v>1.554</v>
      </c>
      <c r="P9" s="12">
        <f t="shared" si="2"/>
        <v>92446.589446589438</v>
      </c>
      <c r="Q9" s="15">
        <f t="shared" si="3"/>
        <v>2.1222816677362131</v>
      </c>
      <c r="R9" s="15">
        <f t="shared" si="4"/>
        <v>2.551163914800278</v>
      </c>
      <c r="S9" s="10" t="s">
        <v>24</v>
      </c>
    </row>
    <row r="10" spans="1:19" x14ac:dyDescent="0.25">
      <c r="A10" s="10" t="s">
        <v>1611</v>
      </c>
      <c r="B10" s="10" t="s">
        <v>1612</v>
      </c>
      <c r="C10" s="10" t="s">
        <v>1596</v>
      </c>
      <c r="D10" s="11">
        <v>45518</v>
      </c>
      <c r="E10" s="12">
        <v>675000</v>
      </c>
      <c r="F10" s="10" t="s">
        <v>29</v>
      </c>
      <c r="G10" s="10" t="s">
        <v>23</v>
      </c>
      <c r="H10" s="12">
        <v>675000</v>
      </c>
      <c r="I10" s="12">
        <v>279980</v>
      </c>
      <c r="J10" s="13">
        <f t="shared" si="0"/>
        <v>41.47851851851852</v>
      </c>
      <c r="K10" s="12">
        <v>559968</v>
      </c>
      <c r="L10" s="12">
        <f>H10-410557</f>
        <v>264443</v>
      </c>
      <c r="M10" s="12">
        <v>149411</v>
      </c>
      <c r="N10" s="12">
        <f t="shared" si="1"/>
        <v>135000</v>
      </c>
      <c r="O10" s="14">
        <v>0.79400000000000004</v>
      </c>
      <c r="P10" s="12">
        <f t="shared" si="2"/>
        <v>333051.63727959694</v>
      </c>
      <c r="Q10" s="15">
        <f t="shared" si="3"/>
        <v>7.6458135279980928</v>
      </c>
      <c r="R10" s="15">
        <f t="shared" si="4"/>
        <v>4.3199050269121253</v>
      </c>
      <c r="S10" s="10" t="s">
        <v>24</v>
      </c>
    </row>
    <row r="11" spans="1:19" x14ac:dyDescent="0.25">
      <c r="A11" s="10" t="s">
        <v>1613</v>
      </c>
      <c r="B11" s="10" t="s">
        <v>1614</v>
      </c>
      <c r="C11" s="10" t="s">
        <v>1596</v>
      </c>
      <c r="D11" s="11">
        <v>45582</v>
      </c>
      <c r="E11" s="12">
        <v>665000</v>
      </c>
      <c r="F11" s="10" t="s">
        <v>29</v>
      </c>
      <c r="G11" s="10" t="s">
        <v>23</v>
      </c>
      <c r="H11" s="12">
        <v>665000</v>
      </c>
      <c r="I11" s="12">
        <v>312650</v>
      </c>
      <c r="J11" s="13">
        <f t="shared" si="0"/>
        <v>47.015037593984964</v>
      </c>
      <c r="K11" s="12">
        <v>625291</v>
      </c>
      <c r="L11" s="12">
        <f>H11-473757</f>
        <v>191243</v>
      </c>
      <c r="M11" s="12">
        <v>151534</v>
      </c>
      <c r="N11" s="12">
        <f t="shared" si="1"/>
        <v>133000</v>
      </c>
      <c r="O11" s="14">
        <v>0.83299999999999996</v>
      </c>
      <c r="P11" s="12">
        <f t="shared" si="2"/>
        <v>229583.43337334934</v>
      </c>
      <c r="Q11" s="15">
        <f t="shared" si="3"/>
        <v>5.2705104080199572</v>
      </c>
      <c r="R11" s="15">
        <f t="shared" si="4"/>
        <v>4.1761608224557039</v>
      </c>
      <c r="S11" s="10" t="s">
        <v>24</v>
      </c>
    </row>
    <row r="12" spans="1:19" ht="15.75" thickBot="1" x14ac:dyDescent="0.3">
      <c r="A12" s="16"/>
      <c r="B12" s="16"/>
      <c r="C12" s="16"/>
      <c r="D12" s="17"/>
      <c r="E12" s="18"/>
      <c r="F12" s="16"/>
      <c r="G12" s="16"/>
      <c r="H12" s="18"/>
      <c r="I12" s="18"/>
      <c r="J12" s="19"/>
      <c r="K12" s="18"/>
      <c r="L12" s="18">
        <f>AVERAGE(L2:L11)</f>
        <v>303986.8</v>
      </c>
      <c r="M12" s="18">
        <f>AVERAGE(M2:M11)</f>
        <v>154076.1</v>
      </c>
      <c r="N12" s="18">
        <f>AVERAGE(N2:N11)</f>
        <v>194480</v>
      </c>
      <c r="O12" s="20"/>
      <c r="P12" s="18"/>
      <c r="Q12" s="21">
        <f>AVERAGE(Q2:Q11)</f>
        <v>7.6586659994896227</v>
      </c>
      <c r="R12" s="21">
        <f>AVERAGE(R2:R11)</f>
        <v>3.721120521022077</v>
      </c>
      <c r="S12" s="16"/>
    </row>
    <row r="13" spans="1:19" ht="15.75" thickTop="1" x14ac:dyDescent="0.25">
      <c r="A13" s="10"/>
      <c r="B13" s="10"/>
      <c r="C13" s="10"/>
      <c r="D13" s="11"/>
      <c r="E13" s="12"/>
      <c r="F13" s="10"/>
      <c r="G13" s="10"/>
      <c r="H13" s="12"/>
      <c r="I13" s="12"/>
      <c r="J13" s="13"/>
      <c r="K13" s="12"/>
      <c r="L13" s="12"/>
      <c r="M13" s="12"/>
      <c r="N13" s="12"/>
      <c r="O13" s="14"/>
      <c r="P13" s="12"/>
      <c r="Q13" s="15"/>
      <c r="R13" s="15"/>
      <c r="S13" s="10"/>
    </row>
    <row r="14" spans="1:19" x14ac:dyDescent="0.25">
      <c r="A14" s="10"/>
      <c r="B14" s="10"/>
      <c r="C14" s="10"/>
      <c r="D14" s="11"/>
      <c r="E14" s="12"/>
      <c r="F14" s="10"/>
      <c r="G14" s="10"/>
      <c r="H14" s="12"/>
      <c r="I14" s="12"/>
      <c r="J14" s="13"/>
      <c r="K14" s="12"/>
      <c r="L14" s="12"/>
      <c r="M14" s="12"/>
      <c r="N14" s="12"/>
      <c r="O14" s="14"/>
      <c r="P14" s="12"/>
      <c r="Q14" s="15"/>
      <c r="R14" s="15"/>
      <c r="S14" s="10"/>
    </row>
    <row r="15" spans="1:19" x14ac:dyDescent="0.25">
      <c r="A15" s="10" t="s">
        <v>1615</v>
      </c>
      <c r="B15" s="10" t="s">
        <v>1616</v>
      </c>
      <c r="C15" s="10" t="s">
        <v>1617</v>
      </c>
      <c r="D15" s="11">
        <v>45070</v>
      </c>
      <c r="E15" s="12">
        <v>1230000</v>
      </c>
      <c r="F15" s="10" t="s">
        <v>22</v>
      </c>
      <c r="G15" s="10" t="s">
        <v>23</v>
      </c>
      <c r="H15" s="12">
        <v>1230000</v>
      </c>
      <c r="I15" s="12">
        <v>546520</v>
      </c>
      <c r="J15" s="13">
        <f t="shared" ref="J15:J23" si="5">I15/H15*100</f>
        <v>44.432520325203249</v>
      </c>
      <c r="K15" s="12">
        <v>1093036</v>
      </c>
      <c r="L15" s="12">
        <f>H15-880507</f>
        <v>349493</v>
      </c>
      <c r="M15" s="12">
        <v>212529</v>
      </c>
      <c r="N15" s="12">
        <f t="shared" ref="N15:N23" si="6">E15*0.2</f>
        <v>246000</v>
      </c>
      <c r="O15" s="14">
        <v>1.008</v>
      </c>
      <c r="P15" s="12">
        <f t="shared" ref="P15:P23" si="7">L15/O15</f>
        <v>346719.24603174604</v>
      </c>
      <c r="Q15" s="15">
        <f t="shared" ref="Q15:Q23" si="8">L15/O15/43560</f>
        <v>7.95957865086653</v>
      </c>
      <c r="R15" s="15">
        <f t="shared" ref="R15:R23" si="9">M15/O15/43560</f>
        <v>4.8402723118632203</v>
      </c>
      <c r="S15" s="10" t="s">
        <v>24</v>
      </c>
    </row>
    <row r="16" spans="1:19" x14ac:dyDescent="0.25">
      <c r="A16" s="10" t="s">
        <v>1618</v>
      </c>
      <c r="B16" s="10" t="s">
        <v>1619</v>
      </c>
      <c r="C16" s="10" t="s">
        <v>1617</v>
      </c>
      <c r="D16" s="11">
        <v>45597</v>
      </c>
      <c r="E16" s="12">
        <v>550000</v>
      </c>
      <c r="F16" s="10" t="s">
        <v>22</v>
      </c>
      <c r="G16" s="10" t="s">
        <v>23</v>
      </c>
      <c r="H16" s="12">
        <v>550000</v>
      </c>
      <c r="I16" s="12">
        <v>225990</v>
      </c>
      <c r="J16" s="13">
        <f t="shared" si="5"/>
        <v>41.089090909090906</v>
      </c>
      <c r="K16" s="12">
        <v>451972</v>
      </c>
      <c r="L16" s="12">
        <f>H16-257951</f>
        <v>292049</v>
      </c>
      <c r="M16" s="12">
        <v>194021</v>
      </c>
      <c r="N16" s="12">
        <f t="shared" si="6"/>
        <v>110000</v>
      </c>
      <c r="O16" s="14">
        <v>1.1479999999999999</v>
      </c>
      <c r="P16" s="12">
        <f t="shared" si="7"/>
        <v>254398.08362369341</v>
      </c>
      <c r="Q16" s="15">
        <f t="shared" si="8"/>
        <v>5.840176391728499</v>
      </c>
      <c r="R16" s="15">
        <f t="shared" si="9"/>
        <v>3.8798861276688328</v>
      </c>
      <c r="S16" s="10" t="s">
        <v>24</v>
      </c>
    </row>
    <row r="17" spans="1:19" x14ac:dyDescent="0.25">
      <c r="A17" s="10" t="s">
        <v>1620</v>
      </c>
      <c r="B17" s="10" t="s">
        <v>1621</v>
      </c>
      <c r="C17" s="10" t="s">
        <v>1617</v>
      </c>
      <c r="D17" s="11">
        <v>45646</v>
      </c>
      <c r="E17" s="12">
        <v>880000</v>
      </c>
      <c r="F17" s="10" t="s">
        <v>22</v>
      </c>
      <c r="G17" s="10" t="s">
        <v>23</v>
      </c>
      <c r="H17" s="12">
        <v>880000</v>
      </c>
      <c r="I17" s="12">
        <v>394480</v>
      </c>
      <c r="J17" s="13">
        <f t="shared" si="5"/>
        <v>44.827272727272728</v>
      </c>
      <c r="K17" s="12">
        <v>788951</v>
      </c>
      <c r="L17" s="12">
        <f>H17-573177</f>
        <v>306823</v>
      </c>
      <c r="M17" s="12">
        <v>215774</v>
      </c>
      <c r="N17" s="12">
        <f t="shared" si="6"/>
        <v>176000</v>
      </c>
      <c r="O17" s="14">
        <v>1.157</v>
      </c>
      <c r="P17" s="12">
        <f t="shared" si="7"/>
        <v>265188.41832324979</v>
      </c>
      <c r="Q17" s="15">
        <f t="shared" si="8"/>
        <v>6.0878883912591775</v>
      </c>
      <c r="R17" s="15">
        <f t="shared" si="9"/>
        <v>4.2813219013423298</v>
      </c>
      <c r="S17" s="10" t="s">
        <v>24</v>
      </c>
    </row>
    <row r="18" spans="1:19" x14ac:dyDescent="0.25">
      <c r="A18" s="10" t="s">
        <v>1622</v>
      </c>
      <c r="B18" s="10" t="s">
        <v>1623</v>
      </c>
      <c r="C18" s="10" t="s">
        <v>1617</v>
      </c>
      <c r="D18" s="11">
        <v>45097</v>
      </c>
      <c r="E18" s="12">
        <v>1486250</v>
      </c>
      <c r="F18" s="10" t="s">
        <v>22</v>
      </c>
      <c r="G18" s="10" t="s">
        <v>23</v>
      </c>
      <c r="H18" s="12">
        <v>1486250</v>
      </c>
      <c r="I18" s="12">
        <v>805310</v>
      </c>
      <c r="J18" s="13">
        <f t="shared" si="5"/>
        <v>54.184020185029439</v>
      </c>
      <c r="K18" s="12">
        <v>1610615</v>
      </c>
      <c r="L18" s="12">
        <f>H18-1404663</f>
        <v>81587</v>
      </c>
      <c r="M18" s="12">
        <v>205952</v>
      </c>
      <c r="N18" s="12">
        <f t="shared" si="6"/>
        <v>297250</v>
      </c>
      <c r="O18" s="14">
        <v>0.85299999999999998</v>
      </c>
      <c r="P18" s="12">
        <f t="shared" si="7"/>
        <v>95647.127784290744</v>
      </c>
      <c r="Q18" s="15">
        <f t="shared" si="8"/>
        <v>2.1957559179130106</v>
      </c>
      <c r="R18" s="15">
        <f t="shared" si="9"/>
        <v>5.5427987645828418</v>
      </c>
      <c r="S18" s="10" t="s">
        <v>24</v>
      </c>
    </row>
    <row r="19" spans="1:19" x14ac:dyDescent="0.25">
      <c r="A19" s="10" t="s">
        <v>1624</v>
      </c>
      <c r="B19" s="10" t="s">
        <v>1625</v>
      </c>
      <c r="C19" s="10" t="s">
        <v>1617</v>
      </c>
      <c r="D19" s="11">
        <v>45183</v>
      </c>
      <c r="E19" s="12">
        <v>1150000</v>
      </c>
      <c r="F19" s="10" t="s">
        <v>22</v>
      </c>
      <c r="G19" s="10" t="s">
        <v>23</v>
      </c>
      <c r="H19" s="12">
        <v>1150000</v>
      </c>
      <c r="I19" s="12">
        <v>500680</v>
      </c>
      <c r="J19" s="13">
        <f t="shared" si="5"/>
        <v>43.537391304347828</v>
      </c>
      <c r="K19" s="12">
        <v>1001367</v>
      </c>
      <c r="L19" s="12">
        <f>H19-791016</f>
        <v>358984</v>
      </c>
      <c r="M19" s="12">
        <v>210351</v>
      </c>
      <c r="N19" s="12">
        <f t="shared" si="6"/>
        <v>230000</v>
      </c>
      <c r="O19" s="14">
        <v>0.95399999999999996</v>
      </c>
      <c r="P19" s="12">
        <f t="shared" si="7"/>
        <v>376293.50104821805</v>
      </c>
      <c r="Q19" s="15">
        <f t="shared" si="8"/>
        <v>8.6385101250738767</v>
      </c>
      <c r="R19" s="15">
        <f t="shared" si="9"/>
        <v>5.0618390884257094</v>
      </c>
      <c r="S19" s="10" t="s">
        <v>24</v>
      </c>
    </row>
    <row r="20" spans="1:19" x14ac:dyDescent="0.25">
      <c r="A20" s="10" t="s">
        <v>1626</v>
      </c>
      <c r="B20" s="10" t="s">
        <v>1627</v>
      </c>
      <c r="C20" s="10" t="s">
        <v>1617</v>
      </c>
      <c r="D20" s="11">
        <v>45301</v>
      </c>
      <c r="E20" s="12">
        <v>756500</v>
      </c>
      <c r="F20" s="10" t="s">
        <v>22</v>
      </c>
      <c r="G20" s="10" t="s">
        <v>23</v>
      </c>
      <c r="H20" s="12">
        <v>756500</v>
      </c>
      <c r="I20" s="12">
        <v>292420</v>
      </c>
      <c r="J20" s="13">
        <f t="shared" si="5"/>
        <v>38.654329147389291</v>
      </c>
      <c r="K20" s="12">
        <v>584833</v>
      </c>
      <c r="L20" s="12">
        <f>H20-399594</f>
        <v>356906</v>
      </c>
      <c r="M20" s="12">
        <v>185239</v>
      </c>
      <c r="N20" s="12">
        <f t="shared" si="6"/>
        <v>151300</v>
      </c>
      <c r="O20" s="14">
        <v>0.85</v>
      </c>
      <c r="P20" s="12">
        <f t="shared" si="7"/>
        <v>419889.4117647059</v>
      </c>
      <c r="Q20" s="15">
        <f t="shared" si="8"/>
        <v>9.6393345216874629</v>
      </c>
      <c r="R20" s="15">
        <f t="shared" si="9"/>
        <v>5.0029438772754284</v>
      </c>
      <c r="S20" s="10" t="s">
        <v>24</v>
      </c>
    </row>
    <row r="21" spans="1:19" x14ac:dyDescent="0.25">
      <c r="A21" s="10" t="s">
        <v>1628</v>
      </c>
      <c r="B21" s="10" t="s">
        <v>1629</v>
      </c>
      <c r="C21" s="10" t="s">
        <v>1617</v>
      </c>
      <c r="D21" s="11">
        <v>45351</v>
      </c>
      <c r="E21" s="12">
        <v>1650000</v>
      </c>
      <c r="F21" s="10" t="s">
        <v>1379</v>
      </c>
      <c r="G21" s="10" t="s">
        <v>23</v>
      </c>
      <c r="H21" s="12">
        <v>1650000</v>
      </c>
      <c r="I21" s="12">
        <v>771540</v>
      </c>
      <c r="J21" s="13">
        <f t="shared" si="5"/>
        <v>46.760000000000005</v>
      </c>
      <c r="K21" s="12">
        <v>1534299</v>
      </c>
      <c r="L21" s="12">
        <f>H21-1330373</f>
        <v>319627</v>
      </c>
      <c r="M21" s="12">
        <v>203926</v>
      </c>
      <c r="N21" s="12">
        <f t="shared" si="6"/>
        <v>330000</v>
      </c>
      <c r="O21" s="14">
        <v>1.363</v>
      </c>
      <c r="P21" s="12">
        <f t="shared" si="7"/>
        <v>234502.56786500366</v>
      </c>
      <c r="Q21" s="15">
        <f t="shared" si="8"/>
        <v>5.3834381970845655</v>
      </c>
      <c r="R21" s="15">
        <f t="shared" si="9"/>
        <v>3.434700503332532</v>
      </c>
      <c r="S21" s="10" t="s">
        <v>24</v>
      </c>
    </row>
    <row r="22" spans="1:19" x14ac:dyDescent="0.25">
      <c r="A22" s="10" t="s">
        <v>1630</v>
      </c>
      <c r="B22" s="10" t="s">
        <v>1631</v>
      </c>
      <c r="C22" s="10" t="s">
        <v>1617</v>
      </c>
      <c r="D22" s="11">
        <v>45652</v>
      </c>
      <c r="E22" s="12">
        <v>475000</v>
      </c>
      <c r="F22" s="10" t="s">
        <v>29</v>
      </c>
      <c r="G22" s="10" t="s">
        <v>23</v>
      </c>
      <c r="H22" s="12">
        <v>475000</v>
      </c>
      <c r="I22" s="12">
        <v>228890</v>
      </c>
      <c r="J22" s="13">
        <f t="shared" si="5"/>
        <v>48.187368421052632</v>
      </c>
      <c r="K22" s="12">
        <v>457779</v>
      </c>
      <c r="L22" s="12">
        <f>H22-280860</f>
        <v>194140</v>
      </c>
      <c r="M22" s="12">
        <v>176919</v>
      </c>
      <c r="N22" s="12">
        <f t="shared" si="6"/>
        <v>95000</v>
      </c>
      <c r="O22" s="14">
        <v>0.58899999999999997</v>
      </c>
      <c r="P22" s="12">
        <f t="shared" si="7"/>
        <v>329609.50764006795</v>
      </c>
      <c r="Q22" s="15">
        <f t="shared" si="8"/>
        <v>7.5667931046847556</v>
      </c>
      <c r="R22" s="15">
        <f t="shared" si="9"/>
        <v>6.8955880770975702</v>
      </c>
      <c r="S22" s="10" t="s">
        <v>24</v>
      </c>
    </row>
    <row r="23" spans="1:19" x14ac:dyDescent="0.25">
      <c r="A23" s="10" t="s">
        <v>1632</v>
      </c>
      <c r="B23" s="10" t="s">
        <v>1633</v>
      </c>
      <c r="C23" s="10" t="s">
        <v>1617</v>
      </c>
      <c r="D23" s="11">
        <v>45264</v>
      </c>
      <c r="E23" s="12">
        <v>730000</v>
      </c>
      <c r="F23" s="10" t="s">
        <v>29</v>
      </c>
      <c r="G23" s="10" t="s">
        <v>23</v>
      </c>
      <c r="H23" s="12">
        <v>730000</v>
      </c>
      <c r="I23" s="12">
        <v>260240</v>
      </c>
      <c r="J23" s="13">
        <f t="shared" si="5"/>
        <v>35.649315068493145</v>
      </c>
      <c r="K23" s="12">
        <v>520488</v>
      </c>
      <c r="L23" s="12">
        <f>H23-308569</f>
        <v>421431</v>
      </c>
      <c r="M23" s="12">
        <v>211919</v>
      </c>
      <c r="N23" s="12">
        <f t="shared" si="6"/>
        <v>146000</v>
      </c>
      <c r="O23" s="14">
        <v>0.99</v>
      </c>
      <c r="P23" s="12">
        <f t="shared" si="7"/>
        <v>425687.87878787878</v>
      </c>
      <c r="Q23" s="15">
        <f t="shared" si="8"/>
        <v>9.7724490079861983</v>
      </c>
      <c r="R23" s="15">
        <f t="shared" si="9"/>
        <v>4.9141321386500447</v>
      </c>
      <c r="S23" s="10" t="s">
        <v>24</v>
      </c>
    </row>
    <row r="24" spans="1:19" ht="15.75" thickBot="1" x14ac:dyDescent="0.3">
      <c r="A24" s="16"/>
      <c r="B24" s="16"/>
      <c r="C24" s="16"/>
      <c r="D24" s="17"/>
      <c r="E24" s="18"/>
      <c r="F24" s="16"/>
      <c r="G24" s="16"/>
      <c r="H24" s="18"/>
      <c r="I24" s="18"/>
      <c r="J24" s="19"/>
      <c r="K24" s="18"/>
      <c r="L24" s="18">
        <f>AVERAGE(L15:L23)</f>
        <v>297893.33333333331</v>
      </c>
      <c r="M24" s="18">
        <f>AVERAGE(M15:M23)</f>
        <v>201847.77777777778</v>
      </c>
      <c r="N24" s="18">
        <f>AVERAGE(N15:N23)</f>
        <v>197950</v>
      </c>
      <c r="O24" s="20"/>
      <c r="P24" s="18"/>
      <c r="Q24" s="21">
        <f>AVERAGE(Q15:Q23)</f>
        <v>7.0093249231426755</v>
      </c>
      <c r="R24" s="21">
        <f>AVERAGE(R15:R23)</f>
        <v>4.8726091989153897</v>
      </c>
      <c r="S24" s="16"/>
    </row>
    <row r="25" spans="1:19" ht="15.75" thickTop="1" x14ac:dyDescent="0.25">
      <c r="A25" s="10"/>
      <c r="B25" s="10"/>
      <c r="C25" s="10"/>
      <c r="D25" s="11"/>
      <c r="E25" s="12"/>
      <c r="F25" s="10"/>
      <c r="G25" s="10"/>
      <c r="H25" s="12"/>
      <c r="I25" s="12"/>
      <c r="J25" s="13"/>
      <c r="K25" s="12"/>
      <c r="L25" s="12"/>
      <c r="M25" s="12"/>
      <c r="N25" s="12"/>
      <c r="O25" s="14"/>
      <c r="P25" s="12"/>
      <c r="Q25" s="15"/>
      <c r="R25" s="15"/>
      <c r="S25" s="10"/>
    </row>
    <row r="26" spans="1:19" x14ac:dyDescent="0.25">
      <c r="A26" s="10"/>
      <c r="B26" s="10"/>
      <c r="C26" s="10"/>
      <c r="D26" s="11"/>
      <c r="E26" s="12"/>
      <c r="F26" s="10"/>
      <c r="G26" s="10"/>
      <c r="H26" s="12"/>
      <c r="I26" s="12"/>
      <c r="J26" s="13"/>
      <c r="K26" s="12"/>
      <c r="L26" s="12"/>
      <c r="M26" s="12"/>
      <c r="N26" s="12"/>
      <c r="O26" s="14"/>
      <c r="P26" s="12"/>
      <c r="Q26" s="15"/>
      <c r="R26" s="15"/>
      <c r="S26" s="10"/>
    </row>
    <row r="27" spans="1:19" x14ac:dyDescent="0.25">
      <c r="A27" s="10" t="s">
        <v>1634</v>
      </c>
      <c r="B27" s="10" t="s">
        <v>1635</v>
      </c>
      <c r="C27" s="10" t="s">
        <v>1636</v>
      </c>
      <c r="D27" s="11">
        <v>45450</v>
      </c>
      <c r="E27" s="12">
        <v>650000</v>
      </c>
      <c r="F27" s="10" t="s">
        <v>29</v>
      </c>
      <c r="G27" s="10" t="s">
        <v>23</v>
      </c>
      <c r="H27" s="12">
        <v>650000</v>
      </c>
      <c r="I27" s="12">
        <v>234110</v>
      </c>
      <c r="J27" s="13">
        <f t="shared" ref="J27:J39" si="10">I27/H27*100</f>
        <v>36.016923076923071</v>
      </c>
      <c r="K27" s="12">
        <v>468214</v>
      </c>
      <c r="L27" s="12">
        <f>H27-313031</f>
        <v>336969</v>
      </c>
      <c r="M27" s="12">
        <v>155183</v>
      </c>
      <c r="N27" s="12">
        <f t="shared" ref="N27:N39" si="11">E27*0.2</f>
        <v>130000</v>
      </c>
      <c r="O27" s="14">
        <v>0.47499999999999998</v>
      </c>
      <c r="P27" s="12">
        <f t="shared" ref="P27:P39" si="12">L27/O27</f>
        <v>709408.42105263157</v>
      </c>
      <c r="Q27" s="15">
        <f t="shared" ref="Q27:Q39" si="13">L27/O27/43560</f>
        <v>16.285776424532404</v>
      </c>
      <c r="R27" s="15">
        <f t="shared" ref="R27:R39" si="14">M27/O27/43560</f>
        <v>7.5000241650959367</v>
      </c>
      <c r="S27" s="10" t="s">
        <v>24</v>
      </c>
    </row>
    <row r="28" spans="1:19" x14ac:dyDescent="0.25">
      <c r="A28" s="10" t="s">
        <v>1637</v>
      </c>
      <c r="B28" s="10" t="s">
        <v>1638</v>
      </c>
      <c r="C28" s="10" t="s">
        <v>1636</v>
      </c>
      <c r="D28" s="11">
        <v>45070</v>
      </c>
      <c r="E28" s="12">
        <v>550000</v>
      </c>
      <c r="F28" s="10" t="s">
        <v>22</v>
      </c>
      <c r="G28" s="10" t="s">
        <v>23</v>
      </c>
      <c r="H28" s="12">
        <v>550000</v>
      </c>
      <c r="I28" s="12">
        <v>264050</v>
      </c>
      <c r="J28" s="13">
        <f t="shared" si="10"/>
        <v>48.009090909090908</v>
      </c>
      <c r="K28" s="12">
        <v>528091</v>
      </c>
      <c r="L28" s="12">
        <f>H28-405905</f>
        <v>144095</v>
      </c>
      <c r="M28" s="12">
        <v>122186</v>
      </c>
      <c r="N28" s="12">
        <f t="shared" si="11"/>
        <v>110000</v>
      </c>
      <c r="O28" s="14">
        <v>0.374</v>
      </c>
      <c r="P28" s="12">
        <f t="shared" si="12"/>
        <v>385280.74866310158</v>
      </c>
      <c r="Q28" s="15">
        <f t="shared" si="13"/>
        <v>8.844828940842552</v>
      </c>
      <c r="R28" s="15">
        <f t="shared" si="14"/>
        <v>7.5000122763856352</v>
      </c>
      <c r="S28" s="10" t="s">
        <v>24</v>
      </c>
    </row>
    <row r="29" spans="1:19" x14ac:dyDescent="0.25">
      <c r="A29" s="10" t="s">
        <v>1639</v>
      </c>
      <c r="B29" s="10" t="s">
        <v>1640</v>
      </c>
      <c r="C29" s="10" t="s">
        <v>1636</v>
      </c>
      <c r="D29" s="11">
        <v>45170</v>
      </c>
      <c r="E29" s="12">
        <v>527500</v>
      </c>
      <c r="F29" s="10" t="s">
        <v>29</v>
      </c>
      <c r="G29" s="10" t="s">
        <v>23</v>
      </c>
      <c r="H29" s="12">
        <v>527500</v>
      </c>
      <c r="I29" s="12">
        <v>337110</v>
      </c>
      <c r="J29" s="13">
        <f t="shared" si="10"/>
        <v>63.90710900473934</v>
      </c>
      <c r="K29" s="12">
        <v>674210</v>
      </c>
      <c r="L29" s="12">
        <f>H29-507234</f>
        <v>20266</v>
      </c>
      <c r="M29" s="12">
        <v>166976</v>
      </c>
      <c r="N29" s="12">
        <f t="shared" si="11"/>
        <v>105500</v>
      </c>
      <c r="O29" s="14">
        <v>0.53700000000000003</v>
      </c>
      <c r="P29" s="12">
        <f t="shared" si="12"/>
        <v>37739.292364990688</v>
      </c>
      <c r="Q29" s="15">
        <f t="shared" si="13"/>
        <v>0.86637493950850986</v>
      </c>
      <c r="R29" s="15">
        <f t="shared" si="14"/>
        <v>7.1382523388617845</v>
      </c>
      <c r="S29" s="10" t="s">
        <v>24</v>
      </c>
    </row>
    <row r="30" spans="1:19" x14ac:dyDescent="0.25">
      <c r="A30" s="10" t="s">
        <v>1641</v>
      </c>
      <c r="B30" s="10" t="s">
        <v>1642</v>
      </c>
      <c r="C30" s="10" t="s">
        <v>1636</v>
      </c>
      <c r="D30" s="11">
        <v>45544</v>
      </c>
      <c r="E30" s="12">
        <v>560000</v>
      </c>
      <c r="F30" s="10" t="s">
        <v>22</v>
      </c>
      <c r="G30" s="10" t="s">
        <v>23</v>
      </c>
      <c r="H30" s="12">
        <v>560000</v>
      </c>
      <c r="I30" s="12">
        <v>219970</v>
      </c>
      <c r="J30" s="13">
        <f t="shared" si="10"/>
        <v>39.280357142857142</v>
      </c>
      <c r="K30" s="12">
        <v>439934</v>
      </c>
      <c r="L30" s="12">
        <f>H30-321995</f>
        <v>238005</v>
      </c>
      <c r="M30" s="12">
        <v>117939</v>
      </c>
      <c r="N30" s="12">
        <f t="shared" si="11"/>
        <v>112000</v>
      </c>
      <c r="O30" s="14">
        <v>0.36099999999999999</v>
      </c>
      <c r="P30" s="12">
        <f t="shared" si="12"/>
        <v>659293.62880886428</v>
      </c>
      <c r="Q30" s="15">
        <f t="shared" si="13"/>
        <v>15.135299100295324</v>
      </c>
      <c r="R30" s="15">
        <f t="shared" si="14"/>
        <v>7.5000190777073179</v>
      </c>
      <c r="S30" s="10" t="s">
        <v>24</v>
      </c>
    </row>
    <row r="31" spans="1:19" x14ac:dyDescent="0.25">
      <c r="A31" s="10" t="s">
        <v>1643</v>
      </c>
      <c r="B31" s="10" t="s">
        <v>1644</v>
      </c>
      <c r="C31" s="10" t="s">
        <v>1636</v>
      </c>
      <c r="D31" s="11">
        <v>45618</v>
      </c>
      <c r="E31" s="12">
        <v>641500</v>
      </c>
      <c r="F31" s="10" t="s">
        <v>22</v>
      </c>
      <c r="G31" s="10" t="s">
        <v>23</v>
      </c>
      <c r="H31" s="12">
        <v>641500</v>
      </c>
      <c r="I31" s="12">
        <v>233390</v>
      </c>
      <c r="J31" s="13">
        <f t="shared" si="10"/>
        <v>36.38191738113796</v>
      </c>
      <c r="K31" s="12">
        <v>466779</v>
      </c>
      <c r="L31" s="12">
        <f>H31-348514</f>
        <v>292986</v>
      </c>
      <c r="M31" s="12">
        <v>118265</v>
      </c>
      <c r="N31" s="12">
        <f t="shared" si="11"/>
        <v>128300</v>
      </c>
      <c r="O31" s="14">
        <v>0.36199999999999999</v>
      </c>
      <c r="P31" s="12">
        <f t="shared" si="12"/>
        <v>809353.59116022103</v>
      </c>
      <c r="Q31" s="15">
        <f t="shared" si="13"/>
        <v>18.58020181726862</v>
      </c>
      <c r="R31" s="15">
        <f t="shared" si="14"/>
        <v>7.499974633324709</v>
      </c>
      <c r="S31" s="10" t="s">
        <v>24</v>
      </c>
    </row>
    <row r="32" spans="1:19" x14ac:dyDescent="0.25">
      <c r="A32" s="10" t="s">
        <v>1643</v>
      </c>
      <c r="B32" s="10" t="s">
        <v>1644</v>
      </c>
      <c r="C32" s="10" t="s">
        <v>1636</v>
      </c>
      <c r="D32" s="11">
        <v>45617</v>
      </c>
      <c r="E32" s="12">
        <v>641500</v>
      </c>
      <c r="F32" s="10" t="s">
        <v>29</v>
      </c>
      <c r="G32" s="10" t="s">
        <v>23</v>
      </c>
      <c r="H32" s="12">
        <v>641500</v>
      </c>
      <c r="I32" s="12">
        <v>233390</v>
      </c>
      <c r="J32" s="13">
        <f t="shared" si="10"/>
        <v>36.38191738113796</v>
      </c>
      <c r="K32" s="12">
        <v>466779</v>
      </c>
      <c r="L32" s="12">
        <f>H32-348514</f>
        <v>292986</v>
      </c>
      <c r="M32" s="12">
        <v>118265</v>
      </c>
      <c r="N32" s="12">
        <f t="shared" si="11"/>
        <v>128300</v>
      </c>
      <c r="O32" s="14">
        <v>0.36199999999999999</v>
      </c>
      <c r="P32" s="12">
        <f t="shared" si="12"/>
        <v>809353.59116022103</v>
      </c>
      <c r="Q32" s="15">
        <f t="shared" si="13"/>
        <v>18.58020181726862</v>
      </c>
      <c r="R32" s="15">
        <f t="shared" si="14"/>
        <v>7.499974633324709</v>
      </c>
      <c r="S32" s="10" t="s">
        <v>24</v>
      </c>
    </row>
    <row r="33" spans="1:19" x14ac:dyDescent="0.25">
      <c r="A33" s="10" t="s">
        <v>1645</v>
      </c>
      <c r="B33" s="10" t="s">
        <v>1646</v>
      </c>
      <c r="C33" s="10" t="s">
        <v>1636</v>
      </c>
      <c r="D33" s="11">
        <v>45061</v>
      </c>
      <c r="E33" s="12">
        <v>554750</v>
      </c>
      <c r="F33" s="10" t="s">
        <v>29</v>
      </c>
      <c r="G33" s="10" t="s">
        <v>23</v>
      </c>
      <c r="H33" s="12">
        <v>554750</v>
      </c>
      <c r="I33" s="12">
        <v>259780</v>
      </c>
      <c r="J33" s="13">
        <f t="shared" si="10"/>
        <v>46.828301036502928</v>
      </c>
      <c r="K33" s="12">
        <v>519557</v>
      </c>
      <c r="L33" s="12">
        <f>H33-407172</f>
        <v>147578</v>
      </c>
      <c r="M33" s="12">
        <v>112385</v>
      </c>
      <c r="N33" s="12">
        <f t="shared" si="11"/>
        <v>110950</v>
      </c>
      <c r="O33" s="14">
        <v>0.34399999999999997</v>
      </c>
      <c r="P33" s="12">
        <f t="shared" si="12"/>
        <v>429005.81395348842</v>
      </c>
      <c r="Q33" s="15">
        <f t="shared" si="13"/>
        <v>9.8486183184914697</v>
      </c>
      <c r="R33" s="15">
        <f t="shared" si="14"/>
        <v>7.5000133470006629</v>
      </c>
      <c r="S33" s="10" t="s">
        <v>24</v>
      </c>
    </row>
    <row r="34" spans="1:19" x14ac:dyDescent="0.25">
      <c r="A34" s="10" t="s">
        <v>1647</v>
      </c>
      <c r="B34" s="10" t="s">
        <v>1648</v>
      </c>
      <c r="C34" s="10" t="s">
        <v>1636</v>
      </c>
      <c r="D34" s="11">
        <v>45405</v>
      </c>
      <c r="E34" s="12">
        <v>688000</v>
      </c>
      <c r="F34" s="10" t="s">
        <v>22</v>
      </c>
      <c r="G34" s="10" t="s">
        <v>23</v>
      </c>
      <c r="H34" s="12">
        <v>688000</v>
      </c>
      <c r="I34" s="12">
        <v>254790</v>
      </c>
      <c r="J34" s="13">
        <f t="shared" si="10"/>
        <v>37.033430232558139</v>
      </c>
      <c r="K34" s="12">
        <v>509583</v>
      </c>
      <c r="L34" s="12">
        <f>H34-392951</f>
        <v>295049</v>
      </c>
      <c r="M34" s="12">
        <v>116632</v>
      </c>
      <c r="N34" s="12">
        <f t="shared" si="11"/>
        <v>137600</v>
      </c>
      <c r="O34" s="14">
        <v>0.35699999999999998</v>
      </c>
      <c r="P34" s="12">
        <f t="shared" si="12"/>
        <v>826467.78711484594</v>
      </c>
      <c r="Q34" s="15">
        <f t="shared" si="13"/>
        <v>18.973089695014828</v>
      </c>
      <c r="R34" s="15">
        <f t="shared" si="14"/>
        <v>7.5000064304877139</v>
      </c>
      <c r="S34" s="10" t="s">
        <v>24</v>
      </c>
    </row>
    <row r="35" spans="1:19" x14ac:dyDescent="0.25">
      <c r="A35" s="10" t="s">
        <v>1649</v>
      </c>
      <c r="B35" s="10" t="s">
        <v>1650</v>
      </c>
      <c r="C35" s="10" t="s">
        <v>1636</v>
      </c>
      <c r="D35" s="11">
        <v>45078</v>
      </c>
      <c r="E35" s="12">
        <v>640000</v>
      </c>
      <c r="F35" s="10" t="s">
        <v>22</v>
      </c>
      <c r="G35" s="10" t="s">
        <v>23</v>
      </c>
      <c r="H35" s="12">
        <v>640000</v>
      </c>
      <c r="I35" s="12">
        <v>302750</v>
      </c>
      <c r="J35" s="13">
        <f t="shared" si="10"/>
        <v>47.3046875</v>
      </c>
      <c r="K35" s="12">
        <v>605494</v>
      </c>
      <c r="L35" s="12">
        <f>H35-465013</f>
        <v>174987</v>
      </c>
      <c r="M35" s="12">
        <v>140481</v>
      </c>
      <c r="N35" s="12">
        <f t="shared" si="11"/>
        <v>128000</v>
      </c>
      <c r="O35" s="14">
        <v>0.43</v>
      </c>
      <c r="P35" s="12">
        <f t="shared" si="12"/>
        <v>406946.51162790699</v>
      </c>
      <c r="Q35" s="15">
        <f t="shared" si="13"/>
        <v>9.3422064193734382</v>
      </c>
      <c r="R35" s="15">
        <f t="shared" si="14"/>
        <v>7.5</v>
      </c>
      <c r="S35" s="10" t="s">
        <v>24</v>
      </c>
    </row>
    <row r="36" spans="1:19" x14ac:dyDescent="0.25">
      <c r="A36" s="10" t="s">
        <v>1651</v>
      </c>
      <c r="B36" s="10" t="s">
        <v>1652</v>
      </c>
      <c r="C36" s="10" t="s">
        <v>1636</v>
      </c>
      <c r="D36" s="11">
        <v>45453</v>
      </c>
      <c r="E36" s="12">
        <v>620500</v>
      </c>
      <c r="F36" s="10" t="s">
        <v>29</v>
      </c>
      <c r="G36" s="10" t="s">
        <v>23</v>
      </c>
      <c r="H36" s="12">
        <v>620500</v>
      </c>
      <c r="I36" s="12">
        <v>252270</v>
      </c>
      <c r="J36" s="13">
        <f t="shared" si="10"/>
        <v>40.655922643029811</v>
      </c>
      <c r="K36" s="12">
        <v>504536</v>
      </c>
      <c r="L36" s="12">
        <f>H36-382023</f>
        <v>238477</v>
      </c>
      <c r="M36" s="12">
        <v>122513</v>
      </c>
      <c r="N36" s="12">
        <f t="shared" si="11"/>
        <v>124100</v>
      </c>
      <c r="O36" s="14">
        <v>0.375</v>
      </c>
      <c r="P36" s="12">
        <f t="shared" si="12"/>
        <v>635938.66666666663</v>
      </c>
      <c r="Q36" s="15">
        <f t="shared" si="13"/>
        <v>14.599142944597489</v>
      </c>
      <c r="R36" s="15">
        <f t="shared" si="14"/>
        <v>7.5000306091215174</v>
      </c>
      <c r="S36" s="10" t="s">
        <v>24</v>
      </c>
    </row>
    <row r="37" spans="1:19" x14ac:dyDescent="0.25">
      <c r="A37" s="10" t="s">
        <v>1653</v>
      </c>
      <c r="B37" s="10" t="s">
        <v>1654</v>
      </c>
      <c r="C37" s="10" t="s">
        <v>1636</v>
      </c>
      <c r="D37" s="11">
        <v>45089</v>
      </c>
      <c r="E37" s="12">
        <v>725000</v>
      </c>
      <c r="F37" s="10" t="s">
        <v>29</v>
      </c>
      <c r="G37" s="10" t="s">
        <v>23</v>
      </c>
      <c r="H37" s="12">
        <v>725000</v>
      </c>
      <c r="I37" s="12">
        <v>362980</v>
      </c>
      <c r="J37" s="13">
        <f t="shared" si="10"/>
        <v>50.066206896551726</v>
      </c>
      <c r="K37" s="12">
        <v>725958</v>
      </c>
      <c r="L37" s="12">
        <f>H37-609326</f>
        <v>115674</v>
      </c>
      <c r="M37" s="12">
        <v>116632</v>
      </c>
      <c r="N37" s="12">
        <f t="shared" si="11"/>
        <v>145000</v>
      </c>
      <c r="O37" s="14">
        <v>0.35699999999999998</v>
      </c>
      <c r="P37" s="12">
        <f t="shared" si="12"/>
        <v>324016.80672268907</v>
      </c>
      <c r="Q37" s="15">
        <f t="shared" si="13"/>
        <v>7.438402358188454</v>
      </c>
      <c r="R37" s="15">
        <f t="shared" si="14"/>
        <v>7.5000064304877139</v>
      </c>
      <c r="S37" s="10" t="s">
        <v>24</v>
      </c>
    </row>
    <row r="38" spans="1:19" x14ac:dyDescent="0.25">
      <c r="A38" s="10" t="s">
        <v>1655</v>
      </c>
      <c r="B38" s="10" t="s">
        <v>1656</v>
      </c>
      <c r="C38" s="10" t="s">
        <v>1636</v>
      </c>
      <c r="D38" s="11">
        <v>45063</v>
      </c>
      <c r="E38" s="12">
        <v>675000</v>
      </c>
      <c r="F38" s="10" t="s">
        <v>29</v>
      </c>
      <c r="G38" s="10" t="s">
        <v>23</v>
      </c>
      <c r="H38" s="12">
        <v>675000</v>
      </c>
      <c r="I38" s="12">
        <v>289990</v>
      </c>
      <c r="J38" s="13">
        <f t="shared" si="10"/>
        <v>42.961481481481485</v>
      </c>
      <c r="K38" s="12">
        <v>579971</v>
      </c>
      <c r="L38" s="12">
        <f>H38-447657</f>
        <v>227343</v>
      </c>
      <c r="M38" s="12">
        <v>132314</v>
      </c>
      <c r="N38" s="12">
        <f t="shared" si="11"/>
        <v>135000</v>
      </c>
      <c r="O38" s="14">
        <v>0.40500000000000003</v>
      </c>
      <c r="P38" s="12">
        <f t="shared" si="12"/>
        <v>561340.74074074067</v>
      </c>
      <c r="Q38" s="15">
        <f t="shared" si="13"/>
        <v>12.886610209842532</v>
      </c>
      <c r="R38" s="15">
        <f t="shared" si="14"/>
        <v>7.500028341779184</v>
      </c>
      <c r="S38" s="10" t="s">
        <v>24</v>
      </c>
    </row>
    <row r="39" spans="1:19" x14ac:dyDescent="0.25">
      <c r="A39" s="10" t="s">
        <v>1657</v>
      </c>
      <c r="B39" s="10" t="s">
        <v>1658</v>
      </c>
      <c r="C39" s="10" t="s">
        <v>1636</v>
      </c>
      <c r="D39" s="11">
        <v>45135</v>
      </c>
      <c r="E39" s="12">
        <v>700000</v>
      </c>
      <c r="F39" s="10" t="s">
        <v>22</v>
      </c>
      <c r="G39" s="10" t="s">
        <v>23</v>
      </c>
      <c r="H39" s="12">
        <v>700000</v>
      </c>
      <c r="I39" s="12">
        <v>294640</v>
      </c>
      <c r="J39" s="13">
        <f t="shared" si="10"/>
        <v>42.091428571428573</v>
      </c>
      <c r="K39" s="12">
        <v>589287</v>
      </c>
      <c r="L39" s="12">
        <f>H39-460567</f>
        <v>239433</v>
      </c>
      <c r="M39" s="12">
        <v>128720</v>
      </c>
      <c r="N39" s="12">
        <f t="shared" si="11"/>
        <v>140000</v>
      </c>
      <c r="O39" s="14">
        <v>0.39400000000000002</v>
      </c>
      <c r="P39" s="12">
        <f t="shared" si="12"/>
        <v>607697.96954314713</v>
      </c>
      <c r="Q39" s="15">
        <f t="shared" si="13"/>
        <v>13.950825747087858</v>
      </c>
      <c r="R39" s="15">
        <f t="shared" si="14"/>
        <v>7.5000116532188512</v>
      </c>
      <c r="S39" s="10" t="s">
        <v>24</v>
      </c>
    </row>
    <row r="40" spans="1:19" ht="15.75" thickBot="1" x14ac:dyDescent="0.3">
      <c r="A40" s="16"/>
      <c r="B40" s="16"/>
      <c r="C40" s="16"/>
      <c r="D40" s="17"/>
      <c r="E40" s="18"/>
      <c r="F40" s="16"/>
      <c r="G40" s="16"/>
      <c r="H40" s="18"/>
      <c r="I40" s="18"/>
      <c r="J40" s="19"/>
      <c r="K40" s="18"/>
      <c r="L40" s="18">
        <f>AVERAGE(L27:L39)</f>
        <v>212603.69230769231</v>
      </c>
      <c r="M40" s="18">
        <f>AVERAGE(M27:M39)</f>
        <v>128345.46153846153</v>
      </c>
      <c r="N40" s="18">
        <f>AVERAGE(N27:N39)</f>
        <v>125750</v>
      </c>
      <c r="O40" s="20"/>
      <c r="P40" s="18"/>
      <c r="Q40" s="21">
        <f>AVERAGE(Q27:Q39)</f>
        <v>12.717813748639392</v>
      </c>
      <c r="R40" s="21">
        <f>AVERAGE(R27:R39)</f>
        <v>7.4721810720612103</v>
      </c>
      <c r="S40" s="16"/>
    </row>
    <row r="41" spans="1:19" ht="15.75" thickTop="1" x14ac:dyDescent="0.25">
      <c r="A41" s="10"/>
      <c r="B41" s="10"/>
      <c r="C41" s="10"/>
      <c r="D41" s="11"/>
      <c r="E41" s="12"/>
      <c r="F41" s="10"/>
      <c r="G41" s="10"/>
      <c r="H41" s="12"/>
      <c r="I41" s="12"/>
      <c r="J41" s="13"/>
      <c r="K41" s="12"/>
      <c r="L41" s="12"/>
      <c r="M41" s="12"/>
      <c r="N41" s="12"/>
      <c r="O41" s="14"/>
      <c r="P41" s="12"/>
      <c r="Q41" s="15"/>
      <c r="R41" s="15"/>
      <c r="S41" s="10"/>
    </row>
    <row r="42" spans="1:19" x14ac:dyDescent="0.25">
      <c r="A42" s="10"/>
      <c r="B42" s="10"/>
      <c r="C42" s="10"/>
      <c r="D42" s="11"/>
      <c r="E42" s="12"/>
      <c r="F42" s="10"/>
      <c r="G42" s="10"/>
      <c r="H42" s="12"/>
      <c r="I42" s="12"/>
      <c r="J42" s="13"/>
      <c r="K42" s="12"/>
      <c r="L42" s="12"/>
      <c r="M42" s="12"/>
      <c r="N42" s="12"/>
      <c r="O42" s="14"/>
      <c r="P42" s="12"/>
      <c r="Q42" s="15"/>
      <c r="R42" s="15"/>
      <c r="S42" s="10"/>
    </row>
    <row r="43" spans="1:19" x14ac:dyDescent="0.25">
      <c r="A43" s="10" t="s">
        <v>1659</v>
      </c>
      <c r="B43" s="10" t="s">
        <v>1660</v>
      </c>
      <c r="C43" s="10" t="s">
        <v>1661</v>
      </c>
      <c r="D43" s="11">
        <v>45481</v>
      </c>
      <c r="E43" s="12">
        <v>611500</v>
      </c>
      <c r="F43" s="10" t="s">
        <v>22</v>
      </c>
      <c r="G43" s="10" t="s">
        <v>23</v>
      </c>
      <c r="H43" s="12">
        <v>611500</v>
      </c>
      <c r="I43" s="12">
        <v>224760</v>
      </c>
      <c r="J43" s="13">
        <f t="shared" ref="J43:J49" si="15">I43/H43*100</f>
        <v>36.755519215044977</v>
      </c>
      <c r="K43" s="12">
        <v>449519</v>
      </c>
      <c r="L43" s="12">
        <f>H43-324066</f>
        <v>287434</v>
      </c>
      <c r="M43" s="12">
        <v>125453</v>
      </c>
      <c r="N43" s="12">
        <f t="shared" ref="N43:N49" si="16">E43*0.2</f>
        <v>122300</v>
      </c>
      <c r="O43" s="14">
        <v>0.38400000000000001</v>
      </c>
      <c r="P43" s="12">
        <f t="shared" ref="P43:P49" si="17">L43/O43</f>
        <v>748526.04166666663</v>
      </c>
      <c r="Q43" s="15">
        <f t="shared" ref="Q43:Q49" si="18">L43/O43/43560</f>
        <v>17.183793426691153</v>
      </c>
      <c r="R43" s="15">
        <f t="shared" ref="R43:R49" si="19">M43/O43/43560</f>
        <v>7.500011956688093</v>
      </c>
      <c r="S43" s="10" t="s">
        <v>24</v>
      </c>
    </row>
    <row r="44" spans="1:19" x14ac:dyDescent="0.25">
      <c r="A44" s="10" t="s">
        <v>1662</v>
      </c>
      <c r="B44" s="10" t="s">
        <v>1663</v>
      </c>
      <c r="C44" s="10" t="s">
        <v>1661</v>
      </c>
      <c r="D44" s="11">
        <v>45559</v>
      </c>
      <c r="E44" s="12">
        <v>690000</v>
      </c>
      <c r="F44" s="10" t="s">
        <v>22</v>
      </c>
      <c r="G44" s="10" t="s">
        <v>23</v>
      </c>
      <c r="H44" s="12">
        <v>690000</v>
      </c>
      <c r="I44" s="12">
        <v>257880</v>
      </c>
      <c r="J44" s="13">
        <f t="shared" si="15"/>
        <v>37.373913043478261</v>
      </c>
      <c r="K44" s="12">
        <v>515752</v>
      </c>
      <c r="L44" s="12">
        <f>H44-385072</f>
        <v>304928</v>
      </c>
      <c r="M44" s="12">
        <v>130680</v>
      </c>
      <c r="N44" s="12">
        <f t="shared" si="16"/>
        <v>138000</v>
      </c>
      <c r="O44" s="14">
        <v>0.4</v>
      </c>
      <c r="P44" s="12">
        <f t="shared" si="17"/>
        <v>762320</v>
      </c>
      <c r="Q44" s="15">
        <f t="shared" si="18"/>
        <v>17.500459136822773</v>
      </c>
      <c r="R44" s="15">
        <f t="shared" si="19"/>
        <v>7.5</v>
      </c>
      <c r="S44" s="10" t="s">
        <v>24</v>
      </c>
    </row>
    <row r="45" spans="1:19" x14ac:dyDescent="0.25">
      <c r="A45" s="10" t="s">
        <v>1664</v>
      </c>
      <c r="B45" s="10" t="s">
        <v>1665</v>
      </c>
      <c r="C45" s="10" t="s">
        <v>1661</v>
      </c>
      <c r="D45" s="11">
        <v>45240</v>
      </c>
      <c r="E45" s="12">
        <v>540000</v>
      </c>
      <c r="F45" s="10" t="s">
        <v>29</v>
      </c>
      <c r="G45" s="10" t="s">
        <v>23</v>
      </c>
      <c r="H45" s="12">
        <v>540000</v>
      </c>
      <c r="I45" s="12">
        <v>283060</v>
      </c>
      <c r="J45" s="13">
        <f t="shared" si="15"/>
        <v>52.418518518518518</v>
      </c>
      <c r="K45" s="12">
        <v>566111</v>
      </c>
      <c r="L45" s="12">
        <f>H45-429877</f>
        <v>110123</v>
      </c>
      <c r="M45" s="12">
        <v>136234</v>
      </c>
      <c r="N45" s="12">
        <f t="shared" si="16"/>
        <v>108000</v>
      </c>
      <c r="O45" s="14">
        <v>0.41699999999999998</v>
      </c>
      <c r="P45" s="12">
        <f t="shared" si="17"/>
        <v>264083.93285371707</v>
      </c>
      <c r="Q45" s="15">
        <f t="shared" si="18"/>
        <v>6.0625328937951579</v>
      </c>
      <c r="R45" s="15">
        <f t="shared" si="19"/>
        <v>7.5000055052376835</v>
      </c>
      <c r="S45" s="10" t="s">
        <v>24</v>
      </c>
    </row>
    <row r="46" spans="1:19" x14ac:dyDescent="0.25">
      <c r="A46" s="10" t="s">
        <v>1666</v>
      </c>
      <c r="B46" s="10" t="s">
        <v>1667</v>
      </c>
      <c r="C46" s="10" t="s">
        <v>1661</v>
      </c>
      <c r="D46" s="11">
        <v>45590</v>
      </c>
      <c r="E46" s="12">
        <v>522000</v>
      </c>
      <c r="F46" s="10" t="s">
        <v>22</v>
      </c>
      <c r="G46" s="10" t="s">
        <v>23</v>
      </c>
      <c r="H46" s="12">
        <v>522000</v>
      </c>
      <c r="I46" s="12">
        <v>242320</v>
      </c>
      <c r="J46" s="13">
        <f t="shared" si="15"/>
        <v>46.421455938697321</v>
      </c>
      <c r="K46" s="12">
        <v>484633</v>
      </c>
      <c r="L46" s="12">
        <f>H46-356240</f>
        <v>165760</v>
      </c>
      <c r="M46" s="12">
        <v>128393</v>
      </c>
      <c r="N46" s="12">
        <f t="shared" si="16"/>
        <v>104400</v>
      </c>
      <c r="O46" s="14">
        <v>0.39300000000000002</v>
      </c>
      <c r="P46" s="12">
        <f t="shared" si="17"/>
        <v>421781.17048346053</v>
      </c>
      <c r="Q46" s="15">
        <f t="shared" si="18"/>
        <v>9.6827633260665866</v>
      </c>
      <c r="R46" s="15">
        <f t="shared" si="19"/>
        <v>7.4999941585645953</v>
      </c>
      <c r="S46" s="10" t="s">
        <v>24</v>
      </c>
    </row>
    <row r="47" spans="1:19" x14ac:dyDescent="0.25">
      <c r="A47" s="10" t="s">
        <v>1668</v>
      </c>
      <c r="B47" s="10" t="s">
        <v>1669</v>
      </c>
      <c r="C47" s="10" t="s">
        <v>1661</v>
      </c>
      <c r="D47" s="11">
        <v>45636</v>
      </c>
      <c r="E47" s="12">
        <v>548000</v>
      </c>
      <c r="F47" s="10" t="s">
        <v>1233</v>
      </c>
      <c r="G47" s="10" t="s">
        <v>23</v>
      </c>
      <c r="H47" s="12">
        <v>548000</v>
      </c>
      <c r="I47" s="12">
        <v>326050</v>
      </c>
      <c r="J47" s="13">
        <f t="shared" si="15"/>
        <v>59.498175182481752</v>
      </c>
      <c r="K47" s="12">
        <v>652100</v>
      </c>
      <c r="L47" s="12">
        <f>H47-490057</f>
        <v>57943</v>
      </c>
      <c r="M47" s="12">
        <v>162043</v>
      </c>
      <c r="N47" s="12">
        <f t="shared" si="16"/>
        <v>109600</v>
      </c>
      <c r="O47" s="14">
        <v>0.496</v>
      </c>
      <c r="P47" s="12">
        <f t="shared" si="17"/>
        <v>116820.56451612903</v>
      </c>
      <c r="Q47" s="15">
        <f t="shared" si="18"/>
        <v>2.6818311413252762</v>
      </c>
      <c r="R47" s="15">
        <f t="shared" si="19"/>
        <v>7.499990743209219</v>
      </c>
      <c r="S47" s="10" t="s">
        <v>24</v>
      </c>
    </row>
    <row r="48" spans="1:19" x14ac:dyDescent="0.25">
      <c r="A48" s="10" t="s">
        <v>1670</v>
      </c>
      <c r="B48" s="10" t="s">
        <v>1671</v>
      </c>
      <c r="C48" s="10" t="s">
        <v>1661</v>
      </c>
      <c r="D48" s="11">
        <v>45090</v>
      </c>
      <c r="E48" s="12">
        <v>576000</v>
      </c>
      <c r="F48" s="10" t="s">
        <v>22</v>
      </c>
      <c r="G48" s="10" t="s">
        <v>23</v>
      </c>
      <c r="H48" s="12">
        <v>576000</v>
      </c>
      <c r="I48" s="12">
        <v>304460</v>
      </c>
      <c r="J48" s="13">
        <f t="shared" si="15"/>
        <v>52.857638888888893</v>
      </c>
      <c r="K48" s="12">
        <v>608917</v>
      </c>
      <c r="L48" s="12">
        <f>H48-485098</f>
        <v>90902</v>
      </c>
      <c r="M48" s="12">
        <v>123819</v>
      </c>
      <c r="N48" s="12">
        <f t="shared" si="16"/>
        <v>115200</v>
      </c>
      <c r="O48" s="14">
        <v>0.379</v>
      </c>
      <c r="P48" s="12">
        <f t="shared" si="17"/>
        <v>239846.96569920843</v>
      </c>
      <c r="Q48" s="15">
        <f t="shared" si="18"/>
        <v>5.5061286891461991</v>
      </c>
      <c r="R48" s="15">
        <f t="shared" si="19"/>
        <v>7.4999818283579378</v>
      </c>
      <c r="S48" s="10" t="s">
        <v>24</v>
      </c>
    </row>
    <row r="49" spans="1:19" x14ac:dyDescent="0.25">
      <c r="A49" s="10" t="s">
        <v>1670</v>
      </c>
      <c r="B49" s="10" t="s">
        <v>1671</v>
      </c>
      <c r="C49" s="10" t="s">
        <v>1661</v>
      </c>
      <c r="D49" s="11">
        <v>45600</v>
      </c>
      <c r="E49" s="12">
        <v>680000</v>
      </c>
      <c r="F49" s="10" t="s">
        <v>22</v>
      </c>
      <c r="G49" s="10" t="s">
        <v>23</v>
      </c>
      <c r="H49" s="12">
        <v>680000</v>
      </c>
      <c r="I49" s="12">
        <v>304460</v>
      </c>
      <c r="J49" s="13">
        <f t="shared" si="15"/>
        <v>44.773529411764706</v>
      </c>
      <c r="K49" s="12">
        <v>608917</v>
      </c>
      <c r="L49" s="12">
        <f>H49-485098</f>
        <v>194902</v>
      </c>
      <c r="M49" s="12">
        <v>123819</v>
      </c>
      <c r="N49" s="12">
        <f t="shared" si="16"/>
        <v>136000</v>
      </c>
      <c r="O49" s="14">
        <v>0.379</v>
      </c>
      <c r="P49" s="12">
        <f t="shared" si="17"/>
        <v>514253.29815303429</v>
      </c>
      <c r="Q49" s="15">
        <f t="shared" si="18"/>
        <v>11.805631270730816</v>
      </c>
      <c r="R49" s="15">
        <f t="shared" si="19"/>
        <v>7.4999818283579378</v>
      </c>
      <c r="S49" s="10" t="s">
        <v>24</v>
      </c>
    </row>
    <row r="50" spans="1:19" ht="15.75" thickBot="1" x14ac:dyDescent="0.3">
      <c r="A50" s="16"/>
      <c r="B50" s="16"/>
      <c r="C50" s="16"/>
      <c r="D50" s="17"/>
      <c r="E50" s="18"/>
      <c r="F50" s="16"/>
      <c r="G50" s="16"/>
      <c r="H50" s="18"/>
      <c r="I50" s="18"/>
      <c r="J50" s="19"/>
      <c r="K50" s="18"/>
      <c r="L50" s="18">
        <f>AVERAGE(L43:L49)</f>
        <v>173141.71428571429</v>
      </c>
      <c r="M50" s="18">
        <f>AVERAGE(M43:M49)</f>
        <v>132920.14285714287</v>
      </c>
      <c r="N50" s="18">
        <f>AVERAGE(N43:N49)</f>
        <v>119071.42857142857</v>
      </c>
      <c r="O50" s="20"/>
      <c r="P50" s="18"/>
      <c r="Q50" s="21">
        <f>AVERAGE(Q43:Q49)</f>
        <v>10.060448554939709</v>
      </c>
      <c r="R50" s="21">
        <f>AVERAGE(R43:R49)</f>
        <v>7.4999951457736378</v>
      </c>
      <c r="S50" s="16"/>
    </row>
    <row r="51" spans="1:19" ht="15.75" thickTop="1" x14ac:dyDescent="0.25">
      <c r="A51" s="10"/>
      <c r="B51" s="10"/>
      <c r="C51" s="10"/>
      <c r="D51" s="11"/>
      <c r="E51" s="12"/>
      <c r="F51" s="10"/>
      <c r="G51" s="10"/>
      <c r="H51" s="12"/>
      <c r="I51" s="12"/>
      <c r="J51" s="13"/>
      <c r="K51" s="12"/>
      <c r="L51" s="12"/>
      <c r="M51" s="12"/>
      <c r="N51" s="12"/>
      <c r="O51" s="14"/>
      <c r="P51" s="12"/>
      <c r="Q51" s="15"/>
      <c r="R51" s="15"/>
      <c r="S51" s="10"/>
    </row>
    <row r="52" spans="1:19" x14ac:dyDescent="0.25">
      <c r="A52" s="10"/>
      <c r="B52" s="10"/>
      <c r="C52" s="10"/>
      <c r="D52" s="11"/>
      <c r="E52" s="12"/>
      <c r="F52" s="10"/>
      <c r="G52" s="10"/>
      <c r="H52" s="12"/>
      <c r="I52" s="12"/>
      <c r="J52" s="13"/>
      <c r="K52" s="12"/>
      <c r="L52" s="12"/>
      <c r="M52" s="12"/>
      <c r="N52" s="12"/>
      <c r="O52" s="14"/>
      <c r="P52" s="12"/>
      <c r="Q52" s="15"/>
      <c r="R52" s="15"/>
      <c r="S52" s="10"/>
    </row>
    <row r="53" spans="1:19" x14ac:dyDescent="0.25">
      <c r="A53" s="10" t="s">
        <v>1672</v>
      </c>
      <c r="B53" s="10" t="s">
        <v>1673</v>
      </c>
      <c r="C53" s="10" t="s">
        <v>1674</v>
      </c>
      <c r="D53" s="11">
        <v>45724</v>
      </c>
      <c r="E53" s="12">
        <v>420000</v>
      </c>
      <c r="F53" s="10" t="s">
        <v>29</v>
      </c>
      <c r="G53" s="10" t="s">
        <v>23</v>
      </c>
      <c r="H53" s="12">
        <v>420000</v>
      </c>
      <c r="I53" s="12">
        <v>278930</v>
      </c>
      <c r="J53" s="13">
        <f t="shared" ref="J53:J62" si="20">I53/H53*100</f>
        <v>66.411904761904765</v>
      </c>
      <c r="K53" s="12">
        <v>557865</v>
      </c>
      <c r="L53" s="12">
        <f>H53-404294</f>
        <v>15706</v>
      </c>
      <c r="M53" s="12">
        <v>153571</v>
      </c>
      <c r="N53" s="12">
        <f t="shared" ref="N53:N62" si="21">E53*0.2</f>
        <v>84000</v>
      </c>
      <c r="O53" s="14">
        <v>0.51700000000000002</v>
      </c>
      <c r="P53" s="12">
        <f t="shared" ref="P53:P62" si="22">L53/O53</f>
        <v>30379.110251450675</v>
      </c>
      <c r="Q53" s="15">
        <f t="shared" ref="Q53:Q62" si="23">L53/O53/43560</f>
        <v>0.69740840797636994</v>
      </c>
      <c r="R53" s="15">
        <f t="shared" ref="R53:R62" si="24">M53/O53/43560</f>
        <v>6.8191587050387827</v>
      </c>
      <c r="S53" s="10" t="s">
        <v>24</v>
      </c>
    </row>
    <row r="54" spans="1:19" x14ac:dyDescent="0.25">
      <c r="A54" s="10" t="s">
        <v>1675</v>
      </c>
      <c r="B54" s="10" t="s">
        <v>1676</v>
      </c>
      <c r="C54" s="10" t="s">
        <v>1674</v>
      </c>
      <c r="D54" s="11">
        <v>45110</v>
      </c>
      <c r="E54" s="12">
        <v>799000</v>
      </c>
      <c r="F54" s="10" t="s">
        <v>29</v>
      </c>
      <c r="G54" s="10" t="s">
        <v>23</v>
      </c>
      <c r="H54" s="12">
        <v>799000</v>
      </c>
      <c r="I54" s="12">
        <v>362720</v>
      </c>
      <c r="J54" s="13">
        <f t="shared" si="20"/>
        <v>45.39674593241552</v>
      </c>
      <c r="K54" s="12">
        <v>725432</v>
      </c>
      <c r="L54" s="12">
        <f>H54-567418</f>
        <v>231582</v>
      </c>
      <c r="M54" s="12">
        <v>158014</v>
      </c>
      <c r="N54" s="12">
        <f t="shared" si="21"/>
        <v>159800</v>
      </c>
      <c r="O54" s="14">
        <v>0.58499999999999996</v>
      </c>
      <c r="P54" s="12">
        <f t="shared" si="22"/>
        <v>395866.66666666669</v>
      </c>
      <c r="Q54" s="15">
        <f t="shared" si="23"/>
        <v>9.0878481787572696</v>
      </c>
      <c r="R54" s="15">
        <f t="shared" si="24"/>
        <v>6.2008586251010502</v>
      </c>
      <c r="S54" s="10" t="s">
        <v>24</v>
      </c>
    </row>
    <row r="55" spans="1:19" x14ac:dyDescent="0.25">
      <c r="A55" s="10" t="s">
        <v>1675</v>
      </c>
      <c r="B55" s="10" t="s">
        <v>1676</v>
      </c>
      <c r="C55" s="10" t="s">
        <v>1674</v>
      </c>
      <c r="D55" s="11">
        <v>45324</v>
      </c>
      <c r="E55" s="12">
        <v>776000</v>
      </c>
      <c r="F55" s="10" t="s">
        <v>29</v>
      </c>
      <c r="G55" s="10" t="s">
        <v>23</v>
      </c>
      <c r="H55" s="12">
        <v>776000</v>
      </c>
      <c r="I55" s="12">
        <v>362720</v>
      </c>
      <c r="J55" s="13">
        <f t="shared" si="20"/>
        <v>46.742268041237111</v>
      </c>
      <c r="K55" s="12">
        <v>725432</v>
      </c>
      <c r="L55" s="12">
        <f>H55-567418</f>
        <v>208582</v>
      </c>
      <c r="M55" s="12">
        <v>158014</v>
      </c>
      <c r="N55" s="12">
        <f t="shared" si="21"/>
        <v>155200</v>
      </c>
      <c r="O55" s="14">
        <v>0.58499999999999996</v>
      </c>
      <c r="P55" s="12">
        <f t="shared" si="22"/>
        <v>356550.42735042737</v>
      </c>
      <c r="Q55" s="15">
        <f t="shared" si="23"/>
        <v>8.1852715186048517</v>
      </c>
      <c r="R55" s="15">
        <f t="shared" si="24"/>
        <v>6.2008586251010502</v>
      </c>
      <c r="S55" s="10" t="s">
        <v>24</v>
      </c>
    </row>
    <row r="56" spans="1:19" x14ac:dyDescent="0.25">
      <c r="A56" s="10" t="s">
        <v>1677</v>
      </c>
      <c r="B56" s="10" t="s">
        <v>1678</v>
      </c>
      <c r="C56" s="10" t="s">
        <v>1674</v>
      </c>
      <c r="D56" s="11">
        <v>45278</v>
      </c>
      <c r="E56" s="12">
        <v>510000</v>
      </c>
      <c r="F56" s="10" t="s">
        <v>29</v>
      </c>
      <c r="G56" s="10" t="s">
        <v>23</v>
      </c>
      <c r="H56" s="12">
        <v>510000</v>
      </c>
      <c r="I56" s="12">
        <v>227330</v>
      </c>
      <c r="J56" s="13">
        <f t="shared" si="20"/>
        <v>44.574509803921572</v>
      </c>
      <c r="K56" s="12">
        <v>454668</v>
      </c>
      <c r="L56" s="12">
        <f>H56-284087</f>
        <v>225913</v>
      </c>
      <c r="M56" s="12">
        <v>170581</v>
      </c>
      <c r="N56" s="12">
        <f t="shared" si="21"/>
        <v>102000</v>
      </c>
      <c r="O56" s="14">
        <v>0.83199999999999996</v>
      </c>
      <c r="P56" s="12">
        <f t="shared" si="22"/>
        <v>271530.04807692306</v>
      </c>
      <c r="Q56" s="15">
        <f t="shared" si="23"/>
        <v>6.2334721780744502</v>
      </c>
      <c r="R56" s="15">
        <f t="shared" si="24"/>
        <v>4.7067318729250553</v>
      </c>
      <c r="S56" s="10" t="s">
        <v>24</v>
      </c>
    </row>
    <row r="57" spans="1:19" x14ac:dyDescent="0.25">
      <c r="A57" s="10" t="s">
        <v>1679</v>
      </c>
      <c r="B57" s="10" t="s">
        <v>1680</v>
      </c>
      <c r="C57" s="10" t="s">
        <v>1674</v>
      </c>
      <c r="D57" s="11">
        <v>45215</v>
      </c>
      <c r="E57" s="12">
        <v>555000</v>
      </c>
      <c r="F57" s="10" t="s">
        <v>29</v>
      </c>
      <c r="G57" s="10" t="s">
        <v>23</v>
      </c>
      <c r="H57" s="12">
        <v>555000</v>
      </c>
      <c r="I57" s="12">
        <v>242490</v>
      </c>
      <c r="J57" s="13">
        <f t="shared" si="20"/>
        <v>43.691891891891892</v>
      </c>
      <c r="K57" s="12">
        <v>484986</v>
      </c>
      <c r="L57" s="12">
        <f>H57-332265</f>
        <v>222735</v>
      </c>
      <c r="M57" s="12">
        <v>152721</v>
      </c>
      <c r="N57" s="12">
        <f t="shared" si="21"/>
        <v>111000</v>
      </c>
      <c r="O57" s="14">
        <v>0.504</v>
      </c>
      <c r="P57" s="12">
        <f t="shared" si="22"/>
        <v>441934.52380952379</v>
      </c>
      <c r="Q57" s="15">
        <f t="shared" si="23"/>
        <v>10.145420656784292</v>
      </c>
      <c r="R57" s="15">
        <f t="shared" si="24"/>
        <v>6.956332808605536</v>
      </c>
      <c r="S57" s="10" t="s">
        <v>24</v>
      </c>
    </row>
    <row r="58" spans="1:19" x14ac:dyDescent="0.25">
      <c r="A58" s="10" t="s">
        <v>1681</v>
      </c>
      <c r="B58" s="10" t="s">
        <v>1682</v>
      </c>
      <c r="C58" s="10" t="s">
        <v>1674</v>
      </c>
      <c r="D58" s="11">
        <v>45133</v>
      </c>
      <c r="E58" s="12">
        <v>720000</v>
      </c>
      <c r="F58" s="10" t="s">
        <v>22</v>
      </c>
      <c r="G58" s="10" t="s">
        <v>23</v>
      </c>
      <c r="H58" s="12">
        <v>720000</v>
      </c>
      <c r="I58" s="12">
        <v>252410</v>
      </c>
      <c r="J58" s="13">
        <f t="shared" si="20"/>
        <v>35.05694444444444</v>
      </c>
      <c r="K58" s="12">
        <v>504813</v>
      </c>
      <c r="L58" s="12">
        <f>H58-351242</f>
        <v>368758</v>
      </c>
      <c r="M58" s="12">
        <v>153571</v>
      </c>
      <c r="N58" s="12">
        <f t="shared" si="21"/>
        <v>144000</v>
      </c>
      <c r="O58" s="14">
        <v>0.51700000000000002</v>
      </c>
      <c r="P58" s="12">
        <f t="shared" si="22"/>
        <v>713264.99032882007</v>
      </c>
      <c r="Q58" s="15">
        <f t="shared" si="23"/>
        <v>16.374311072746099</v>
      </c>
      <c r="R58" s="15">
        <f t="shared" si="24"/>
        <v>6.8191587050387827</v>
      </c>
      <c r="S58" s="10" t="s">
        <v>24</v>
      </c>
    </row>
    <row r="59" spans="1:19" x14ac:dyDescent="0.25">
      <c r="A59" s="10" t="s">
        <v>1683</v>
      </c>
      <c r="B59" s="10" t="s">
        <v>1684</v>
      </c>
      <c r="C59" s="10" t="s">
        <v>1674</v>
      </c>
      <c r="D59" s="11">
        <v>45468</v>
      </c>
      <c r="E59" s="12">
        <v>734900</v>
      </c>
      <c r="F59" s="10" t="s">
        <v>29</v>
      </c>
      <c r="G59" s="10" t="s">
        <v>23</v>
      </c>
      <c r="H59" s="12">
        <v>734900</v>
      </c>
      <c r="I59" s="12">
        <v>266380</v>
      </c>
      <c r="J59" s="13">
        <f t="shared" si="20"/>
        <v>36.247108450129268</v>
      </c>
      <c r="K59" s="12">
        <v>532767</v>
      </c>
      <c r="L59" s="12">
        <f>H59-377367</f>
        <v>357533</v>
      </c>
      <c r="M59" s="12">
        <v>155400</v>
      </c>
      <c r="N59" s="12">
        <f t="shared" si="21"/>
        <v>146980</v>
      </c>
      <c r="O59" s="14">
        <v>0.54500000000000004</v>
      </c>
      <c r="P59" s="12">
        <f t="shared" si="22"/>
        <v>656023.85321100918</v>
      </c>
      <c r="Q59" s="15">
        <f t="shared" si="23"/>
        <v>15.060235381336298</v>
      </c>
      <c r="R59" s="15">
        <f t="shared" si="24"/>
        <v>6.5458589228397397</v>
      </c>
      <c r="S59" s="10" t="s">
        <v>24</v>
      </c>
    </row>
    <row r="60" spans="1:19" x14ac:dyDescent="0.25">
      <c r="A60" s="10" t="s">
        <v>1685</v>
      </c>
      <c r="B60" s="10" t="s">
        <v>1686</v>
      </c>
      <c r="C60" s="10" t="s">
        <v>1674</v>
      </c>
      <c r="D60" s="11">
        <v>45069</v>
      </c>
      <c r="E60" s="12">
        <v>618000</v>
      </c>
      <c r="F60" s="10" t="s">
        <v>29</v>
      </c>
      <c r="G60" s="10" t="s">
        <v>23</v>
      </c>
      <c r="H60" s="12">
        <v>618000</v>
      </c>
      <c r="I60" s="12">
        <v>261520</v>
      </c>
      <c r="J60" s="13">
        <f t="shared" si="20"/>
        <v>42.31715210355987</v>
      </c>
      <c r="K60" s="12">
        <v>523033</v>
      </c>
      <c r="L60" s="12">
        <f>H60-347769</f>
        <v>270231</v>
      </c>
      <c r="M60" s="12">
        <v>175264</v>
      </c>
      <c r="N60" s="12">
        <f t="shared" si="21"/>
        <v>123600</v>
      </c>
      <c r="O60" s="14">
        <v>1.0469999999999999</v>
      </c>
      <c r="P60" s="12">
        <f t="shared" si="22"/>
        <v>258100.28653295132</v>
      </c>
      <c r="Q60" s="15">
        <f t="shared" si="23"/>
        <v>5.9251672757794154</v>
      </c>
      <c r="R60" s="15">
        <f t="shared" si="24"/>
        <v>3.8428918866532831</v>
      </c>
      <c r="S60" s="10" t="s">
        <v>24</v>
      </c>
    </row>
    <row r="61" spans="1:19" x14ac:dyDescent="0.25">
      <c r="A61" s="10" t="s">
        <v>1687</v>
      </c>
      <c r="B61" s="10" t="s">
        <v>1688</v>
      </c>
      <c r="C61" s="10" t="s">
        <v>1674</v>
      </c>
      <c r="D61" s="11">
        <v>45565</v>
      </c>
      <c r="E61" s="12">
        <v>430000</v>
      </c>
      <c r="F61" s="10" t="s">
        <v>22</v>
      </c>
      <c r="G61" s="10" t="s">
        <v>23</v>
      </c>
      <c r="H61" s="12">
        <v>430000</v>
      </c>
      <c r="I61" s="12">
        <v>227650</v>
      </c>
      <c r="J61" s="13">
        <f t="shared" si="20"/>
        <v>52.941860465116278</v>
      </c>
      <c r="K61" s="12">
        <v>455294</v>
      </c>
      <c r="L61" s="12">
        <f>H61-317727</f>
        <v>112273</v>
      </c>
      <c r="M61" s="12">
        <v>137567</v>
      </c>
      <c r="N61" s="12">
        <f t="shared" si="21"/>
        <v>86000</v>
      </c>
      <c r="O61" s="14">
        <v>0.50600000000000001</v>
      </c>
      <c r="P61" s="12">
        <f t="shared" si="22"/>
        <v>221883.39920948618</v>
      </c>
      <c r="Q61" s="15">
        <f t="shared" si="23"/>
        <v>5.0937419469579011</v>
      </c>
      <c r="R61" s="15">
        <f t="shared" si="24"/>
        <v>6.2413117883832934</v>
      </c>
      <c r="S61" s="10" t="s">
        <v>24</v>
      </c>
    </row>
    <row r="62" spans="1:19" x14ac:dyDescent="0.25">
      <c r="A62" s="10" t="s">
        <v>1689</v>
      </c>
      <c r="B62" s="10" t="s">
        <v>1690</v>
      </c>
      <c r="C62" s="10" t="s">
        <v>1674</v>
      </c>
      <c r="D62" s="11">
        <v>45051</v>
      </c>
      <c r="E62" s="12">
        <v>550000</v>
      </c>
      <c r="F62" s="10" t="s">
        <v>22</v>
      </c>
      <c r="G62" s="10" t="s">
        <v>23</v>
      </c>
      <c r="H62" s="12">
        <v>550000</v>
      </c>
      <c r="I62" s="12">
        <v>230270</v>
      </c>
      <c r="J62" s="13">
        <f t="shared" si="20"/>
        <v>41.867272727272727</v>
      </c>
      <c r="K62" s="12">
        <v>460534</v>
      </c>
      <c r="L62" s="12">
        <f>H62-289801</f>
        <v>260199</v>
      </c>
      <c r="M62" s="12">
        <v>170733</v>
      </c>
      <c r="N62" s="12">
        <f t="shared" si="21"/>
        <v>110000</v>
      </c>
      <c r="O62" s="14">
        <v>0.83899999999999997</v>
      </c>
      <c r="P62" s="12">
        <f t="shared" si="22"/>
        <v>310129.91656734206</v>
      </c>
      <c r="Q62" s="15">
        <f t="shared" si="23"/>
        <v>7.1196032269821412</v>
      </c>
      <c r="R62" s="15">
        <f t="shared" si="24"/>
        <v>4.6716214042034823</v>
      </c>
      <c r="S62" s="10" t="s">
        <v>24</v>
      </c>
    </row>
    <row r="63" spans="1:19" ht="15.75" thickBot="1" x14ac:dyDescent="0.3">
      <c r="A63" s="16"/>
      <c r="B63" s="16"/>
      <c r="C63" s="16"/>
      <c r="D63" s="17"/>
      <c r="E63" s="18"/>
      <c r="F63" s="16"/>
      <c r="G63" s="16"/>
      <c r="H63" s="18"/>
      <c r="I63" s="18"/>
      <c r="J63" s="19"/>
      <c r="K63" s="18"/>
      <c r="L63" s="18">
        <f>AVERAGE(L53:L62)</f>
        <v>227351.2</v>
      </c>
      <c r="M63" s="18">
        <f>AVERAGE(M53:M62)</f>
        <v>158543.6</v>
      </c>
      <c r="N63" s="18">
        <f>AVERAGE(N53:N62)</f>
        <v>122258</v>
      </c>
      <c r="O63" s="20"/>
      <c r="P63" s="18"/>
      <c r="Q63" s="21">
        <f>AVERAGE(Q53:Q62)</f>
        <v>8.3922479843999085</v>
      </c>
      <c r="R63" s="21">
        <f>AVERAGE(R53:R62)</f>
        <v>5.9004783343890059</v>
      </c>
      <c r="S63" s="16"/>
    </row>
    <row r="64" spans="1:19" ht="15.75" thickTop="1" x14ac:dyDescent="0.25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A394-EA52-4625-970C-44BCB0D82C73}">
  <dimension ref="A1:S57"/>
  <sheetViews>
    <sheetView workbookViewId="0">
      <selection activeCell="A46" sqref="A46:XFD49"/>
    </sheetView>
  </sheetViews>
  <sheetFormatPr defaultRowHeight="15" x14ac:dyDescent="0.25"/>
  <cols>
    <col min="1" max="1" width="12.42578125" bestFit="1" customWidth="1"/>
    <col min="2" max="2" width="17.7109375" bestFit="1" customWidth="1"/>
    <col min="3" max="3" width="12.5703125" bestFit="1" customWidth="1"/>
    <col min="7" max="7" width="13.140625" bestFit="1" customWidth="1"/>
    <col min="13" max="13" width="10.8554687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180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1691</v>
      </c>
      <c r="B2" s="10" t="s">
        <v>1692</v>
      </c>
      <c r="C2" s="10" t="s">
        <v>1693</v>
      </c>
      <c r="D2" s="11">
        <v>45645</v>
      </c>
      <c r="E2" s="12">
        <v>687500</v>
      </c>
      <c r="F2" s="10" t="s">
        <v>29</v>
      </c>
      <c r="G2" s="10" t="s">
        <v>23</v>
      </c>
      <c r="H2" s="12">
        <v>687500</v>
      </c>
      <c r="I2" s="12">
        <v>326630</v>
      </c>
      <c r="J2" s="13">
        <f t="shared" ref="J2:J15" si="0">I2/H2*100</f>
        <v>47.509818181818183</v>
      </c>
      <c r="K2" s="12">
        <v>653259</v>
      </c>
      <c r="L2" s="12">
        <f>H2-448298</f>
        <v>239202</v>
      </c>
      <c r="M2" s="12">
        <v>204961</v>
      </c>
      <c r="N2" s="12">
        <f t="shared" ref="N2:N15" si="1">E2*0.2</f>
        <v>137500</v>
      </c>
      <c r="O2" s="14">
        <v>1.3839999999999999</v>
      </c>
      <c r="P2" s="12">
        <f t="shared" ref="P2:P15" si="2">L2/O2</f>
        <v>172833.81502890174</v>
      </c>
      <c r="Q2" s="15">
        <f t="shared" ref="Q2:Q15" si="3">L2/O2/43560</f>
        <v>3.967718435006927</v>
      </c>
      <c r="R2" s="15">
        <f t="shared" ref="R2:R15" si="4">M2/O2/43560</f>
        <v>3.3997522518936076</v>
      </c>
      <c r="S2" s="10" t="s">
        <v>24</v>
      </c>
    </row>
    <row r="3" spans="1:19" x14ac:dyDescent="0.25">
      <c r="A3" s="10" t="s">
        <v>1694</v>
      </c>
      <c r="B3" s="10" t="s">
        <v>1695</v>
      </c>
      <c r="C3" s="10" t="s">
        <v>1693</v>
      </c>
      <c r="D3" s="11">
        <v>45471</v>
      </c>
      <c r="E3" s="12">
        <v>912500</v>
      </c>
      <c r="F3" s="10" t="s">
        <v>29</v>
      </c>
      <c r="G3" s="10" t="s">
        <v>23</v>
      </c>
      <c r="H3" s="12">
        <v>912500</v>
      </c>
      <c r="I3" s="12">
        <v>523050</v>
      </c>
      <c r="J3" s="13">
        <f t="shared" si="0"/>
        <v>57.320547945205483</v>
      </c>
      <c r="K3" s="12">
        <v>1046098</v>
      </c>
      <c r="L3" s="12">
        <f>H3-875561</f>
        <v>36939</v>
      </c>
      <c r="M3" s="12">
        <v>170537</v>
      </c>
      <c r="N3" s="12">
        <f t="shared" si="1"/>
        <v>182500</v>
      </c>
      <c r="O3" s="14">
        <v>0.876</v>
      </c>
      <c r="P3" s="12">
        <f t="shared" si="2"/>
        <v>42167.808219178085</v>
      </c>
      <c r="Q3" s="15">
        <f t="shared" si="3"/>
        <v>0.96803967445312411</v>
      </c>
      <c r="R3" s="15">
        <f t="shared" si="4"/>
        <v>4.4691675996159184</v>
      </c>
      <c r="S3" s="10" t="s">
        <v>24</v>
      </c>
    </row>
    <row r="4" spans="1:19" x14ac:dyDescent="0.25">
      <c r="A4" s="10" t="s">
        <v>1696</v>
      </c>
      <c r="B4" s="10" t="s">
        <v>1697</v>
      </c>
      <c r="C4" s="10" t="s">
        <v>1693</v>
      </c>
      <c r="D4" s="11">
        <v>45715</v>
      </c>
      <c r="E4" s="12">
        <v>526655</v>
      </c>
      <c r="F4" s="10" t="s">
        <v>1233</v>
      </c>
      <c r="G4" s="10" t="s">
        <v>23</v>
      </c>
      <c r="H4" s="12">
        <v>526655</v>
      </c>
      <c r="I4" s="12">
        <v>280170</v>
      </c>
      <c r="J4" s="13">
        <f t="shared" si="0"/>
        <v>53.198013880054305</v>
      </c>
      <c r="K4" s="12">
        <v>560335</v>
      </c>
      <c r="L4" s="12">
        <f>H4-406011</f>
        <v>120644</v>
      </c>
      <c r="M4" s="12">
        <v>154324</v>
      </c>
      <c r="N4" s="12">
        <f t="shared" si="1"/>
        <v>105331</v>
      </c>
      <c r="O4" s="14">
        <v>0.73699999999999999</v>
      </c>
      <c r="P4" s="12">
        <f t="shared" si="2"/>
        <v>163696.06512890095</v>
      </c>
      <c r="Q4" s="15">
        <f t="shared" si="3"/>
        <v>3.7579445621878089</v>
      </c>
      <c r="R4" s="15">
        <f t="shared" si="4"/>
        <v>4.8070441680901776</v>
      </c>
      <c r="S4" s="10" t="s">
        <v>24</v>
      </c>
    </row>
    <row r="5" spans="1:19" x14ac:dyDescent="0.25">
      <c r="A5" s="10" t="s">
        <v>1698</v>
      </c>
      <c r="B5" s="10" t="s">
        <v>1699</v>
      </c>
      <c r="C5" s="10" t="s">
        <v>1693</v>
      </c>
      <c r="D5" s="11">
        <v>45456</v>
      </c>
      <c r="E5" s="12">
        <v>1005000</v>
      </c>
      <c r="F5" s="10" t="s">
        <v>29</v>
      </c>
      <c r="G5" s="10" t="s">
        <v>23</v>
      </c>
      <c r="H5" s="12">
        <v>1005000</v>
      </c>
      <c r="I5" s="12">
        <v>544300</v>
      </c>
      <c r="J5" s="13">
        <f t="shared" si="0"/>
        <v>54.159203980099505</v>
      </c>
      <c r="K5" s="12">
        <v>1088608</v>
      </c>
      <c r="L5" s="12">
        <f>H5-882406</f>
        <v>122594</v>
      </c>
      <c r="M5" s="12">
        <v>206202</v>
      </c>
      <c r="N5" s="12">
        <f t="shared" si="1"/>
        <v>201000</v>
      </c>
      <c r="O5" s="14">
        <v>1.407</v>
      </c>
      <c r="P5" s="12">
        <f t="shared" si="2"/>
        <v>87131.485429992885</v>
      </c>
      <c r="Q5" s="15">
        <f t="shared" si="3"/>
        <v>2.0002636691917557</v>
      </c>
      <c r="R5" s="15">
        <f t="shared" si="4"/>
        <v>3.3644254132720888</v>
      </c>
      <c r="S5" s="10" t="s">
        <v>24</v>
      </c>
    </row>
    <row r="6" spans="1:19" x14ac:dyDescent="0.25">
      <c r="A6" s="10" t="s">
        <v>1700</v>
      </c>
      <c r="B6" s="10" t="s">
        <v>1701</v>
      </c>
      <c r="C6" s="10" t="s">
        <v>1693</v>
      </c>
      <c r="D6" s="11">
        <v>45516</v>
      </c>
      <c r="E6" s="12">
        <v>1555000</v>
      </c>
      <c r="F6" s="10" t="s">
        <v>29</v>
      </c>
      <c r="G6" s="10" t="s">
        <v>23</v>
      </c>
      <c r="H6" s="12">
        <v>1555000</v>
      </c>
      <c r="I6" s="12">
        <v>777560</v>
      </c>
      <c r="J6" s="13">
        <f t="shared" si="0"/>
        <v>50.003858520900323</v>
      </c>
      <c r="K6" s="12">
        <v>1555110</v>
      </c>
      <c r="L6" s="12">
        <f>H6-1317861</f>
        <v>237139</v>
      </c>
      <c r="M6" s="12">
        <v>237249</v>
      </c>
      <c r="N6" s="12">
        <f t="shared" si="1"/>
        <v>311000</v>
      </c>
      <c r="O6" s="14">
        <v>1.2509999999999999</v>
      </c>
      <c r="P6" s="12">
        <f t="shared" si="2"/>
        <v>189559.55235811352</v>
      </c>
      <c r="Q6" s="15">
        <f t="shared" si="3"/>
        <v>4.3516885298005858</v>
      </c>
      <c r="R6" s="15">
        <f t="shared" si="4"/>
        <v>4.3537071169510675</v>
      </c>
      <c r="S6" s="10" t="s">
        <v>24</v>
      </c>
    </row>
    <row r="7" spans="1:19" x14ac:dyDescent="0.25">
      <c r="A7" s="10" t="s">
        <v>1702</v>
      </c>
      <c r="B7" s="10" t="s">
        <v>1703</v>
      </c>
      <c r="C7" s="10" t="s">
        <v>1693</v>
      </c>
      <c r="D7" s="11">
        <v>45393</v>
      </c>
      <c r="E7" s="12">
        <v>680000</v>
      </c>
      <c r="F7" s="10" t="s">
        <v>29</v>
      </c>
      <c r="G7" s="10" t="s">
        <v>23</v>
      </c>
      <c r="H7" s="12">
        <v>680000</v>
      </c>
      <c r="I7" s="12">
        <v>262010</v>
      </c>
      <c r="J7" s="13">
        <f t="shared" si="0"/>
        <v>38.530882352941177</v>
      </c>
      <c r="K7" s="12">
        <v>524028</v>
      </c>
      <c r="L7" s="12">
        <f>H7-377179</f>
        <v>302821</v>
      </c>
      <c r="M7" s="12">
        <v>146849</v>
      </c>
      <c r="N7" s="12">
        <f t="shared" si="1"/>
        <v>136000</v>
      </c>
      <c r="O7" s="14">
        <v>0.69799999999999995</v>
      </c>
      <c r="P7" s="12">
        <f t="shared" si="2"/>
        <v>433840.97421203443</v>
      </c>
      <c r="Q7" s="15">
        <f t="shared" si="3"/>
        <v>9.9596183244268701</v>
      </c>
      <c r="R7" s="15">
        <f t="shared" si="4"/>
        <v>4.8297839031102905</v>
      </c>
      <c r="S7" s="10" t="s">
        <v>24</v>
      </c>
    </row>
    <row r="8" spans="1:19" x14ac:dyDescent="0.25">
      <c r="A8" s="10" t="s">
        <v>1704</v>
      </c>
      <c r="B8" s="10" t="s">
        <v>1705</v>
      </c>
      <c r="C8" s="10" t="s">
        <v>1693</v>
      </c>
      <c r="D8" s="11">
        <v>45593</v>
      </c>
      <c r="E8" s="12">
        <v>695000</v>
      </c>
      <c r="F8" s="10" t="s">
        <v>29</v>
      </c>
      <c r="G8" s="10" t="s">
        <v>23</v>
      </c>
      <c r="H8" s="12">
        <v>695000</v>
      </c>
      <c r="I8" s="12">
        <v>345410</v>
      </c>
      <c r="J8" s="13">
        <f t="shared" si="0"/>
        <v>49.699280575539568</v>
      </c>
      <c r="K8" s="12">
        <v>690815</v>
      </c>
      <c r="L8" s="12">
        <f>H8-510259</f>
        <v>184741</v>
      </c>
      <c r="M8" s="12">
        <v>180556</v>
      </c>
      <c r="N8" s="12">
        <f t="shared" si="1"/>
        <v>139000</v>
      </c>
      <c r="O8" s="14">
        <v>0.96799999999999997</v>
      </c>
      <c r="P8" s="12">
        <f t="shared" si="2"/>
        <v>190848.14049586779</v>
      </c>
      <c r="Q8" s="15">
        <f t="shared" si="3"/>
        <v>4.3812704429721716</v>
      </c>
      <c r="R8" s="15">
        <f t="shared" si="4"/>
        <v>4.2820200502394341</v>
      </c>
      <c r="S8" s="10" t="s">
        <v>24</v>
      </c>
    </row>
    <row r="9" spans="1:19" x14ac:dyDescent="0.25">
      <c r="A9" s="10" t="s">
        <v>1706</v>
      </c>
      <c r="B9" s="10" t="s">
        <v>1707</v>
      </c>
      <c r="C9" s="10" t="s">
        <v>1693</v>
      </c>
      <c r="D9" s="11">
        <v>45664</v>
      </c>
      <c r="E9" s="12">
        <v>1900000</v>
      </c>
      <c r="F9" s="10" t="s">
        <v>29</v>
      </c>
      <c r="G9" s="10" t="s">
        <v>23</v>
      </c>
      <c r="H9" s="12">
        <v>1900000</v>
      </c>
      <c r="I9" s="12">
        <v>1254380</v>
      </c>
      <c r="J9" s="13">
        <f t="shared" si="0"/>
        <v>66.02</v>
      </c>
      <c r="K9" s="12">
        <v>2508758</v>
      </c>
      <c r="L9" s="12">
        <f>H9-2259641</f>
        <v>-359641</v>
      </c>
      <c r="M9" s="12">
        <v>249117</v>
      </c>
      <c r="N9" s="12">
        <f t="shared" si="1"/>
        <v>380000</v>
      </c>
      <c r="O9" s="14">
        <v>1.4330000000000001</v>
      </c>
      <c r="P9" s="12">
        <f t="shared" si="2"/>
        <v>-250970.69085833913</v>
      </c>
      <c r="Q9" s="15">
        <f t="shared" si="3"/>
        <v>-5.7614942804944702</v>
      </c>
      <c r="R9" s="15">
        <f t="shared" si="4"/>
        <v>3.9908858296855501</v>
      </c>
      <c r="S9" s="10" t="s">
        <v>24</v>
      </c>
    </row>
    <row r="10" spans="1:19" x14ac:dyDescent="0.25">
      <c r="A10" s="10" t="s">
        <v>1708</v>
      </c>
      <c r="B10" s="10" t="s">
        <v>1709</v>
      </c>
      <c r="C10" s="10" t="s">
        <v>1693</v>
      </c>
      <c r="D10" s="11">
        <v>45033</v>
      </c>
      <c r="E10" s="12">
        <v>725000</v>
      </c>
      <c r="F10" s="10" t="s">
        <v>29</v>
      </c>
      <c r="G10" s="10" t="s">
        <v>23</v>
      </c>
      <c r="H10" s="12">
        <v>725000</v>
      </c>
      <c r="I10" s="12">
        <v>433360</v>
      </c>
      <c r="J10" s="13">
        <f t="shared" si="0"/>
        <v>59.773793103448284</v>
      </c>
      <c r="K10" s="12">
        <v>866720</v>
      </c>
      <c r="L10" s="12">
        <f>H10-639119</f>
        <v>85881</v>
      </c>
      <c r="M10" s="12">
        <v>227601</v>
      </c>
      <c r="N10" s="12">
        <f t="shared" si="1"/>
        <v>145000</v>
      </c>
      <c r="O10" s="14">
        <v>1.8</v>
      </c>
      <c r="P10" s="12">
        <f t="shared" si="2"/>
        <v>47711.666666666664</v>
      </c>
      <c r="Q10" s="15">
        <f t="shared" si="3"/>
        <v>1.0953091521273339</v>
      </c>
      <c r="R10" s="15">
        <f t="shared" si="4"/>
        <v>2.9027777777777777</v>
      </c>
      <c r="S10" s="10" t="s">
        <v>24</v>
      </c>
    </row>
    <row r="11" spans="1:19" x14ac:dyDescent="0.25">
      <c r="A11" s="10" t="s">
        <v>1710</v>
      </c>
      <c r="B11" s="10" t="s">
        <v>1711</v>
      </c>
      <c r="C11" s="10" t="s">
        <v>1693</v>
      </c>
      <c r="D11" s="11">
        <v>45083</v>
      </c>
      <c r="E11" s="12">
        <v>780000</v>
      </c>
      <c r="F11" s="10" t="s">
        <v>29</v>
      </c>
      <c r="G11" s="10" t="s">
        <v>23</v>
      </c>
      <c r="H11" s="12">
        <v>780000</v>
      </c>
      <c r="I11" s="12">
        <v>290620</v>
      </c>
      <c r="J11" s="13">
        <f t="shared" si="0"/>
        <v>37.258974358974363</v>
      </c>
      <c r="K11" s="12">
        <v>581233</v>
      </c>
      <c r="L11" s="12">
        <f>H11-389351</f>
        <v>390649</v>
      </c>
      <c r="M11" s="12">
        <v>191882</v>
      </c>
      <c r="N11" s="12">
        <f t="shared" si="1"/>
        <v>156000</v>
      </c>
      <c r="O11" s="14">
        <v>1.1439999999999999</v>
      </c>
      <c r="P11" s="12">
        <f t="shared" si="2"/>
        <v>341476.39860139863</v>
      </c>
      <c r="Q11" s="15">
        <f t="shared" si="3"/>
        <v>7.839219435293816</v>
      </c>
      <c r="R11" s="15">
        <f t="shared" si="4"/>
        <v>3.8505284889582416</v>
      </c>
      <c r="S11" s="10" t="s">
        <v>24</v>
      </c>
    </row>
    <row r="12" spans="1:19" x14ac:dyDescent="0.25">
      <c r="A12" s="10" t="s">
        <v>1712</v>
      </c>
      <c r="B12" s="10" t="s">
        <v>1713</v>
      </c>
      <c r="C12" s="10" t="s">
        <v>1693</v>
      </c>
      <c r="D12" s="11">
        <v>45723</v>
      </c>
      <c r="E12" s="12">
        <v>1490000</v>
      </c>
      <c r="F12" s="10" t="s">
        <v>22</v>
      </c>
      <c r="G12" s="10" t="s">
        <v>23</v>
      </c>
      <c r="H12" s="12">
        <v>1490000</v>
      </c>
      <c r="I12" s="12">
        <v>585080</v>
      </c>
      <c r="J12" s="13">
        <f t="shared" si="0"/>
        <v>39.267114093959734</v>
      </c>
      <c r="K12" s="12">
        <v>1170153</v>
      </c>
      <c r="L12" s="12">
        <f>H12-979415</f>
        <v>510585</v>
      </c>
      <c r="M12" s="12">
        <v>190738</v>
      </c>
      <c r="N12" s="12">
        <f t="shared" si="1"/>
        <v>298000</v>
      </c>
      <c r="O12" s="14">
        <v>1.123</v>
      </c>
      <c r="P12" s="12">
        <f t="shared" si="2"/>
        <v>454661.62065894925</v>
      </c>
      <c r="Q12" s="15">
        <f t="shared" si="3"/>
        <v>10.437594597312884</v>
      </c>
      <c r="R12" s="15">
        <f t="shared" si="4"/>
        <v>3.8991468967992886</v>
      </c>
      <c r="S12" s="10" t="s">
        <v>24</v>
      </c>
    </row>
    <row r="13" spans="1:19" x14ac:dyDescent="0.25">
      <c r="A13" s="10" t="s">
        <v>1714</v>
      </c>
      <c r="B13" s="10" t="s">
        <v>1715</v>
      </c>
      <c r="C13" s="10" t="s">
        <v>1693</v>
      </c>
      <c r="D13" s="11">
        <v>45366</v>
      </c>
      <c r="E13" s="12">
        <v>2795000</v>
      </c>
      <c r="F13" s="10" t="s">
        <v>29</v>
      </c>
      <c r="G13" s="10" t="s">
        <v>23</v>
      </c>
      <c r="H13" s="12">
        <v>2795000</v>
      </c>
      <c r="I13" s="12">
        <v>1073040</v>
      </c>
      <c r="J13" s="13">
        <f t="shared" si="0"/>
        <v>38.391413237924866</v>
      </c>
      <c r="K13" s="12">
        <v>2146078</v>
      </c>
      <c r="L13" s="12">
        <f>H13-1967553</f>
        <v>827447</v>
      </c>
      <c r="M13" s="12">
        <v>178525</v>
      </c>
      <c r="N13" s="12">
        <f t="shared" si="1"/>
        <v>559000</v>
      </c>
      <c r="O13" s="14">
        <v>1.2629999999999999</v>
      </c>
      <c r="P13" s="12">
        <f t="shared" si="2"/>
        <v>655144.10134600161</v>
      </c>
      <c r="Q13" s="15">
        <f t="shared" si="3"/>
        <v>15.040039057529881</v>
      </c>
      <c r="R13" s="15">
        <f t="shared" si="4"/>
        <v>3.2449485861275975</v>
      </c>
      <c r="S13" s="10" t="s">
        <v>24</v>
      </c>
    </row>
    <row r="14" spans="1:19" x14ac:dyDescent="0.25">
      <c r="A14" s="10" t="s">
        <v>1716</v>
      </c>
      <c r="B14" s="10" t="s">
        <v>1717</v>
      </c>
      <c r="C14" s="10" t="s">
        <v>1693</v>
      </c>
      <c r="D14" s="11">
        <v>45463</v>
      </c>
      <c r="E14" s="12">
        <v>1150000</v>
      </c>
      <c r="F14" s="10" t="s">
        <v>29</v>
      </c>
      <c r="G14" s="10" t="s">
        <v>23</v>
      </c>
      <c r="H14" s="12">
        <v>1150000</v>
      </c>
      <c r="I14" s="12">
        <v>513750</v>
      </c>
      <c r="J14" s="13">
        <f t="shared" si="0"/>
        <v>44.673913043478258</v>
      </c>
      <c r="K14" s="12">
        <v>1027508</v>
      </c>
      <c r="L14" s="12">
        <f>H14-843140</f>
        <v>306860</v>
      </c>
      <c r="M14" s="12">
        <v>184368</v>
      </c>
      <c r="N14" s="12">
        <f t="shared" si="1"/>
        <v>230000</v>
      </c>
      <c r="O14" s="14">
        <v>1.006</v>
      </c>
      <c r="P14" s="12">
        <f t="shared" si="2"/>
        <v>305029.82107355865</v>
      </c>
      <c r="Q14" s="15">
        <f t="shared" si="3"/>
        <v>7.0025211449393625</v>
      </c>
      <c r="R14" s="15">
        <f t="shared" si="4"/>
        <v>4.2072633072090868</v>
      </c>
      <c r="S14" s="10" t="s">
        <v>24</v>
      </c>
    </row>
    <row r="15" spans="1:19" x14ac:dyDescent="0.25">
      <c r="A15" s="10" t="s">
        <v>1718</v>
      </c>
      <c r="B15" s="10" t="s">
        <v>1719</v>
      </c>
      <c r="C15" s="10" t="s">
        <v>1693</v>
      </c>
      <c r="D15" s="11">
        <v>45660</v>
      </c>
      <c r="E15" s="12">
        <v>600000</v>
      </c>
      <c r="F15" s="10" t="s">
        <v>22</v>
      </c>
      <c r="G15" s="10" t="s">
        <v>23</v>
      </c>
      <c r="H15" s="12">
        <v>600000</v>
      </c>
      <c r="I15" s="12">
        <v>276820</v>
      </c>
      <c r="J15" s="13">
        <f t="shared" si="0"/>
        <v>46.136666666666663</v>
      </c>
      <c r="K15" s="12">
        <v>553646</v>
      </c>
      <c r="L15" s="12">
        <f>H15-385178</f>
        <v>214822</v>
      </c>
      <c r="M15" s="12">
        <v>168468</v>
      </c>
      <c r="N15" s="12">
        <f t="shared" si="1"/>
        <v>120000</v>
      </c>
      <c r="O15" s="14">
        <v>0.85699999999999998</v>
      </c>
      <c r="P15" s="12">
        <f t="shared" si="2"/>
        <v>250667.44457409569</v>
      </c>
      <c r="Q15" s="15">
        <f t="shared" si="3"/>
        <v>5.7545327037212051</v>
      </c>
      <c r="R15" s="15">
        <f t="shared" si="4"/>
        <v>4.5128274363449927</v>
      </c>
      <c r="S15" s="10" t="s">
        <v>24</v>
      </c>
    </row>
    <row r="16" spans="1:19" ht="15.75" thickBot="1" x14ac:dyDescent="0.3">
      <c r="A16" s="16"/>
      <c r="B16" s="16"/>
      <c r="C16" s="16"/>
      <c r="D16" s="17"/>
      <c r="E16" s="18"/>
      <c r="F16" s="16"/>
      <c r="G16" s="16"/>
      <c r="H16" s="18"/>
      <c r="I16" s="18"/>
      <c r="J16" s="19"/>
      <c r="K16" s="18"/>
      <c r="L16" s="18">
        <f>AVERAGE(L2:L15)</f>
        <v>230048.78571428571</v>
      </c>
      <c r="M16" s="18">
        <f>AVERAGE(M2:M15)</f>
        <v>192241.21428571429</v>
      </c>
      <c r="N16" s="18">
        <f>AVERAGE(N2:N15)</f>
        <v>221452.21428571429</v>
      </c>
      <c r="O16" s="20"/>
      <c r="P16" s="18"/>
      <c r="Q16" s="21">
        <f>AVERAGE(Q2:Q15)</f>
        <v>5.0567332463192329</v>
      </c>
      <c r="R16" s="21">
        <f>AVERAGE(R2:R15)</f>
        <v>4.0081627732910805</v>
      </c>
      <c r="S16" s="16"/>
    </row>
    <row r="17" spans="1:19" ht="15.75" thickTop="1" x14ac:dyDescent="0.25">
      <c r="A17" s="10"/>
      <c r="B17" s="10"/>
      <c r="C17" s="10"/>
      <c r="D17" s="11"/>
      <c r="E17" s="12"/>
      <c r="F17" s="10"/>
      <c r="G17" s="10"/>
      <c r="H17" s="12"/>
      <c r="I17" s="12"/>
      <c r="J17" s="13"/>
      <c r="K17" s="12"/>
      <c r="L17" s="12"/>
      <c r="M17" s="12"/>
      <c r="N17" s="12"/>
      <c r="O17" s="14"/>
      <c r="P17" s="12"/>
      <c r="Q17" s="15"/>
      <c r="R17" s="15"/>
      <c r="S17" s="10"/>
    </row>
    <row r="18" spans="1:19" x14ac:dyDescent="0.25">
      <c r="A18" s="10"/>
      <c r="B18" s="10"/>
      <c r="C18" s="10"/>
      <c r="D18" s="11"/>
      <c r="E18" s="12"/>
      <c r="F18" s="10"/>
      <c r="G18" s="10"/>
      <c r="H18" s="12"/>
      <c r="I18" s="12"/>
      <c r="J18" s="13"/>
      <c r="K18" s="12"/>
      <c r="L18" s="12"/>
      <c r="M18" s="12"/>
      <c r="N18" s="12"/>
      <c r="O18" s="14"/>
      <c r="P18" s="12"/>
      <c r="Q18" s="15"/>
      <c r="R18" s="15"/>
      <c r="S18" s="10"/>
    </row>
    <row r="19" spans="1:19" x14ac:dyDescent="0.25">
      <c r="A19" s="10" t="s">
        <v>1720</v>
      </c>
      <c r="B19" s="10" t="s">
        <v>1721</v>
      </c>
      <c r="C19" s="10" t="s">
        <v>1722</v>
      </c>
      <c r="D19" s="11">
        <v>45247</v>
      </c>
      <c r="E19" s="12">
        <v>775000</v>
      </c>
      <c r="F19" s="10" t="s">
        <v>22</v>
      </c>
      <c r="G19" s="10" t="s">
        <v>23</v>
      </c>
      <c r="H19" s="12">
        <v>775000</v>
      </c>
      <c r="I19" s="12">
        <v>373560</v>
      </c>
      <c r="J19" s="13">
        <f>I19/H19*100</f>
        <v>48.201290322580647</v>
      </c>
      <c r="K19" s="12">
        <v>747117</v>
      </c>
      <c r="L19" s="12">
        <f>H19-584856</f>
        <v>190144</v>
      </c>
      <c r="M19" s="12">
        <v>162261</v>
      </c>
      <c r="N19" s="12">
        <f>E19*0.2</f>
        <v>155000</v>
      </c>
      <c r="O19" s="14">
        <v>0.74</v>
      </c>
      <c r="P19" s="12">
        <f>L19/O19</f>
        <v>256951.35135135136</v>
      </c>
      <c r="Q19" s="15">
        <f>L19/O19/43560</f>
        <v>5.8987913533368079</v>
      </c>
      <c r="R19" s="15">
        <f>M19/O19/43560</f>
        <v>5.0337837837837842</v>
      </c>
      <c r="S19" s="10" t="s">
        <v>24</v>
      </c>
    </row>
    <row r="20" spans="1:19" ht="15.75" thickBot="1" x14ac:dyDescent="0.3">
      <c r="A20" s="16"/>
      <c r="B20" s="16"/>
      <c r="C20" s="16"/>
      <c r="D20" s="17"/>
      <c r="E20" s="18"/>
      <c r="F20" s="16"/>
      <c r="G20" s="16"/>
      <c r="H20" s="18"/>
      <c r="I20" s="18"/>
      <c r="J20" s="19"/>
      <c r="K20" s="18"/>
      <c r="L20" s="18">
        <f>AVERAGE(L19)</f>
        <v>190144</v>
      </c>
      <c r="M20" s="18">
        <f>AVERAGE(M19)</f>
        <v>162261</v>
      </c>
      <c r="N20" s="18">
        <f>AVERAGE(N19)</f>
        <v>155000</v>
      </c>
      <c r="O20" s="20"/>
      <c r="P20" s="18"/>
      <c r="Q20" s="21">
        <f>AVERAGE(Q19)</f>
        <v>5.8987913533368079</v>
      </c>
      <c r="R20" s="21">
        <f>AVERAGE(R19)</f>
        <v>5.0337837837837842</v>
      </c>
      <c r="S20" s="16"/>
    </row>
    <row r="21" spans="1:19" ht="15.75" thickTop="1" x14ac:dyDescent="0.25">
      <c r="A21" s="10"/>
      <c r="B21" s="10"/>
      <c r="C21" s="10"/>
      <c r="D21" s="11"/>
      <c r="E21" s="12"/>
      <c r="F21" s="10"/>
      <c r="G21" s="10"/>
      <c r="H21" s="12"/>
      <c r="I21" s="12"/>
      <c r="J21" s="13"/>
      <c r="K21" s="12"/>
      <c r="L21" s="12"/>
      <c r="M21" s="12"/>
      <c r="N21" s="12"/>
      <c r="O21" s="14"/>
      <c r="P21" s="12"/>
      <c r="Q21" s="15"/>
      <c r="R21" s="15"/>
      <c r="S21" s="10"/>
    </row>
    <row r="22" spans="1:19" x14ac:dyDescent="0.25">
      <c r="A22" s="10"/>
      <c r="B22" s="10"/>
      <c r="C22" s="10"/>
      <c r="D22" s="11"/>
      <c r="E22" s="12"/>
      <c r="F22" s="10"/>
      <c r="G22" s="10"/>
      <c r="H22" s="12"/>
      <c r="I22" s="12"/>
      <c r="J22" s="13"/>
      <c r="K22" s="12"/>
      <c r="L22" s="12"/>
      <c r="M22" s="12"/>
      <c r="N22" s="12"/>
      <c r="O22" s="14"/>
      <c r="P22" s="12"/>
      <c r="Q22" s="15"/>
      <c r="R22" s="15"/>
      <c r="S22" s="10"/>
    </row>
    <row r="23" spans="1:19" x14ac:dyDescent="0.25">
      <c r="A23" s="10" t="s">
        <v>1723</v>
      </c>
      <c r="B23" s="10" t="s">
        <v>1724</v>
      </c>
      <c r="C23" s="10" t="s">
        <v>1725</v>
      </c>
      <c r="D23" s="11">
        <v>45688</v>
      </c>
      <c r="E23" s="12">
        <v>2025000</v>
      </c>
      <c r="F23" s="10" t="s">
        <v>22</v>
      </c>
      <c r="G23" s="10" t="s">
        <v>23</v>
      </c>
      <c r="H23" s="12">
        <v>2025000</v>
      </c>
      <c r="I23" s="12">
        <v>1420430</v>
      </c>
      <c r="J23" s="13">
        <f>I23/H23*100</f>
        <v>70.144691358024687</v>
      </c>
      <c r="K23" s="12">
        <v>2840868</v>
      </c>
      <c r="L23" s="12">
        <f>H23-2446765</f>
        <v>-421765</v>
      </c>
      <c r="M23" s="12">
        <v>394103</v>
      </c>
      <c r="N23" s="12">
        <f>E23*0.2</f>
        <v>405000</v>
      </c>
      <c r="O23" s="14">
        <v>1.7030000000000001</v>
      </c>
      <c r="P23" s="12">
        <f>L23/O23</f>
        <v>-247660.01174398119</v>
      </c>
      <c r="Q23" s="15">
        <f>L23/O23/43560</f>
        <v>-5.6854915460050774</v>
      </c>
      <c r="R23" s="15">
        <f>M23/O23/43560</f>
        <v>5.312601270269556</v>
      </c>
      <c r="S23" s="10" t="s">
        <v>24</v>
      </c>
    </row>
    <row r="24" spans="1:19" x14ac:dyDescent="0.25">
      <c r="A24" s="10" t="s">
        <v>1726</v>
      </c>
      <c r="B24" s="10" t="s">
        <v>1727</v>
      </c>
      <c r="C24" s="10" t="s">
        <v>1725</v>
      </c>
      <c r="D24" s="11">
        <v>45145</v>
      </c>
      <c r="E24" s="12">
        <v>975000</v>
      </c>
      <c r="F24" s="10" t="s">
        <v>22</v>
      </c>
      <c r="G24" s="10" t="s">
        <v>23</v>
      </c>
      <c r="H24" s="12">
        <v>975000</v>
      </c>
      <c r="I24" s="12">
        <v>212050</v>
      </c>
      <c r="J24" s="13">
        <f>I24/H24*100</f>
        <v>21.74871794871795</v>
      </c>
      <c r="K24" s="12">
        <v>424100</v>
      </c>
      <c r="L24" s="12">
        <f>H24-0</f>
        <v>975000</v>
      </c>
      <c r="M24" s="12">
        <v>424100</v>
      </c>
      <c r="N24" s="12">
        <f>E24*0.2</f>
        <v>195000</v>
      </c>
      <c r="O24" s="14">
        <v>1.73</v>
      </c>
      <c r="P24" s="12">
        <f>L24/O24</f>
        <v>563583.81502890179</v>
      </c>
      <c r="Q24" s="15">
        <f>L24/O24/43560</f>
        <v>12.938104109938058</v>
      </c>
      <c r="R24" s="15">
        <f>M24/O24/43560</f>
        <v>5.6277435415638255</v>
      </c>
      <c r="S24" s="10" t="s">
        <v>24</v>
      </c>
    </row>
    <row r="25" spans="1:19" ht="15.75" thickBot="1" x14ac:dyDescent="0.3">
      <c r="A25" s="16"/>
      <c r="B25" s="16"/>
      <c r="C25" s="16"/>
      <c r="D25" s="17"/>
      <c r="E25" s="18"/>
      <c r="F25" s="16"/>
      <c r="G25" s="16"/>
      <c r="H25" s="18"/>
      <c r="I25" s="18"/>
      <c r="J25" s="19"/>
      <c r="K25" s="18"/>
      <c r="L25" s="18">
        <f>AVERAGE(L23:L24)</f>
        <v>276617.5</v>
      </c>
      <c r="M25" s="18">
        <f>AVERAGE(M23:M24)</f>
        <v>409101.5</v>
      </c>
      <c r="N25" s="18">
        <f>AVERAGE(N23:N24)</f>
        <v>300000</v>
      </c>
      <c r="O25" s="20"/>
      <c r="P25" s="18"/>
      <c r="Q25" s="21">
        <f>AVERAGE(Q23:Q24)</f>
        <v>3.6263062819664902</v>
      </c>
      <c r="R25" s="21">
        <f>AVERAGE(R23:R24)</f>
        <v>5.4701724059166903</v>
      </c>
      <c r="S25" s="16"/>
    </row>
    <row r="26" spans="1:19" ht="15.75" thickTop="1" x14ac:dyDescent="0.25">
      <c r="A26" s="10"/>
      <c r="B26" s="10"/>
      <c r="C26" s="10"/>
      <c r="D26" s="11"/>
      <c r="E26" s="12"/>
      <c r="F26" s="10"/>
      <c r="G26" s="10"/>
      <c r="H26" s="12"/>
      <c r="I26" s="12"/>
      <c r="J26" s="13"/>
      <c r="K26" s="12"/>
      <c r="L26" s="12"/>
      <c r="M26" s="12"/>
      <c r="N26" s="12"/>
      <c r="O26" s="14"/>
      <c r="P26" s="12"/>
      <c r="Q26" s="15"/>
      <c r="R26" s="15"/>
      <c r="S26" s="10"/>
    </row>
    <row r="27" spans="1:19" x14ac:dyDescent="0.25">
      <c r="A27" s="10"/>
      <c r="B27" s="10"/>
      <c r="C27" s="10"/>
      <c r="D27" s="11"/>
      <c r="E27" s="12"/>
      <c r="F27" s="10"/>
      <c r="G27" s="10"/>
      <c r="H27" s="12"/>
      <c r="I27" s="12"/>
      <c r="J27" s="13"/>
      <c r="K27" s="12"/>
      <c r="L27" s="12"/>
      <c r="M27" s="12"/>
      <c r="N27" s="12"/>
      <c r="O27" s="14"/>
      <c r="P27" s="12"/>
      <c r="Q27" s="15"/>
      <c r="R27" s="15"/>
      <c r="S27" s="10"/>
    </row>
    <row r="28" spans="1:19" x14ac:dyDescent="0.25">
      <c r="A28" s="10" t="s">
        <v>1728</v>
      </c>
      <c r="B28" s="10" t="s">
        <v>1729</v>
      </c>
      <c r="C28" s="10" t="s">
        <v>1730</v>
      </c>
      <c r="D28" s="11">
        <v>45590</v>
      </c>
      <c r="E28" s="12">
        <v>530000</v>
      </c>
      <c r="F28" s="10" t="s">
        <v>22</v>
      </c>
      <c r="G28" s="10" t="s">
        <v>23</v>
      </c>
      <c r="H28" s="12">
        <v>530000</v>
      </c>
      <c r="I28" s="12">
        <v>280640</v>
      </c>
      <c r="J28" s="13">
        <f t="shared" ref="J28:J38" si="5">I28/H28*100</f>
        <v>52.950943396226414</v>
      </c>
      <c r="K28" s="12">
        <v>561285</v>
      </c>
      <c r="L28" s="12">
        <f>H28-427456</f>
        <v>102544</v>
      </c>
      <c r="M28" s="12">
        <v>133829</v>
      </c>
      <c r="N28" s="12">
        <f t="shared" ref="N28:N38" si="6">E28*0.2</f>
        <v>106000</v>
      </c>
      <c r="O28" s="14">
        <v>0.46200000000000002</v>
      </c>
      <c r="P28" s="12">
        <f t="shared" ref="P28:P38" si="7">L28/O28</f>
        <v>221956.70995670994</v>
      </c>
      <c r="Q28" s="15">
        <f t="shared" ref="Q28:Q38" si="8">L28/O28/43560</f>
        <v>5.0954249301356738</v>
      </c>
      <c r="R28" s="15">
        <f t="shared" ref="R28:R38" si="9">M28/O28/43560</f>
        <v>6.6499807202286529</v>
      </c>
      <c r="S28" s="10" t="s">
        <v>24</v>
      </c>
    </row>
    <row r="29" spans="1:19" x14ac:dyDescent="0.25">
      <c r="A29" s="10" t="s">
        <v>1731</v>
      </c>
      <c r="B29" s="10" t="s">
        <v>1732</v>
      </c>
      <c r="C29" s="10" t="s">
        <v>1730</v>
      </c>
      <c r="D29" s="11">
        <v>45152</v>
      </c>
      <c r="E29" s="12">
        <v>583000</v>
      </c>
      <c r="F29" s="10" t="s">
        <v>22</v>
      </c>
      <c r="G29" s="10" t="s">
        <v>23</v>
      </c>
      <c r="H29" s="12">
        <v>583000</v>
      </c>
      <c r="I29" s="12">
        <v>278900</v>
      </c>
      <c r="J29" s="13">
        <f t="shared" si="5"/>
        <v>47.838765008576331</v>
      </c>
      <c r="K29" s="12">
        <v>557791</v>
      </c>
      <c r="L29" s="12">
        <f>H29-406551</f>
        <v>176449</v>
      </c>
      <c r="M29" s="12">
        <v>151240</v>
      </c>
      <c r="N29" s="12">
        <f t="shared" si="6"/>
        <v>116600</v>
      </c>
      <c r="O29" s="14">
        <v>0.496</v>
      </c>
      <c r="P29" s="12">
        <f t="shared" si="7"/>
        <v>355743.95161290321</v>
      </c>
      <c r="Q29" s="15">
        <f t="shared" si="8"/>
        <v>8.1667573832163267</v>
      </c>
      <c r="R29" s="15">
        <f t="shared" si="9"/>
        <v>6.9999851891347493</v>
      </c>
      <c r="S29" s="10" t="s">
        <v>24</v>
      </c>
    </row>
    <row r="30" spans="1:19" x14ac:dyDescent="0.25">
      <c r="A30" s="10" t="s">
        <v>1733</v>
      </c>
      <c r="B30" s="10" t="s">
        <v>1734</v>
      </c>
      <c r="C30" s="10" t="s">
        <v>1730</v>
      </c>
      <c r="D30" s="11">
        <v>45196</v>
      </c>
      <c r="E30" s="12">
        <v>701000</v>
      </c>
      <c r="F30" s="10" t="s">
        <v>22</v>
      </c>
      <c r="G30" s="10" t="s">
        <v>23</v>
      </c>
      <c r="H30" s="12">
        <v>701000</v>
      </c>
      <c r="I30" s="12">
        <v>305300</v>
      </c>
      <c r="J30" s="13">
        <f t="shared" si="5"/>
        <v>43.552068473609125</v>
      </c>
      <c r="K30" s="12">
        <v>610603</v>
      </c>
      <c r="L30" s="12">
        <f>H30-456096</f>
        <v>244904</v>
      </c>
      <c r="M30" s="12">
        <v>154507</v>
      </c>
      <c r="N30" s="12">
        <f t="shared" si="6"/>
        <v>140200</v>
      </c>
      <c r="O30" s="14">
        <v>0.54700000000000004</v>
      </c>
      <c r="P30" s="12">
        <f t="shared" si="7"/>
        <v>447722.12065813527</v>
      </c>
      <c r="Q30" s="15">
        <f t="shared" si="8"/>
        <v>10.278285598212472</v>
      </c>
      <c r="R30" s="15">
        <f t="shared" si="9"/>
        <v>6.4844472647364446</v>
      </c>
      <c r="S30" s="10" t="s">
        <v>24</v>
      </c>
    </row>
    <row r="31" spans="1:19" x14ac:dyDescent="0.25">
      <c r="A31" s="10" t="s">
        <v>1735</v>
      </c>
      <c r="B31" s="10" t="s">
        <v>1736</v>
      </c>
      <c r="C31" s="10" t="s">
        <v>1730</v>
      </c>
      <c r="D31" s="11">
        <v>45299</v>
      </c>
      <c r="E31" s="12">
        <v>1425000</v>
      </c>
      <c r="F31" s="10" t="s">
        <v>29</v>
      </c>
      <c r="G31" s="10" t="s">
        <v>23</v>
      </c>
      <c r="H31" s="12">
        <v>1425000</v>
      </c>
      <c r="I31" s="12">
        <v>420420</v>
      </c>
      <c r="J31" s="13">
        <f t="shared" si="5"/>
        <v>29.503157894736841</v>
      </c>
      <c r="K31" s="12">
        <v>840839</v>
      </c>
      <c r="L31" s="12">
        <f>H31-700576</f>
        <v>724424</v>
      </c>
      <c r="M31" s="12">
        <v>140263</v>
      </c>
      <c r="N31" s="12">
        <f t="shared" si="6"/>
        <v>285000</v>
      </c>
      <c r="O31" s="14">
        <v>0.46</v>
      </c>
      <c r="P31" s="12">
        <f t="shared" si="7"/>
        <v>1574834.7826086956</v>
      </c>
      <c r="Q31" s="15">
        <f t="shared" si="8"/>
        <v>36.153231923982908</v>
      </c>
      <c r="R31" s="15">
        <f t="shared" si="9"/>
        <v>6.9999900187647217</v>
      </c>
      <c r="S31" s="10" t="s">
        <v>24</v>
      </c>
    </row>
    <row r="32" spans="1:19" x14ac:dyDescent="0.25">
      <c r="A32" s="10" t="s">
        <v>1737</v>
      </c>
      <c r="B32" s="10" t="s">
        <v>1738</v>
      </c>
      <c r="C32" s="10" t="s">
        <v>1730</v>
      </c>
      <c r="D32" s="11">
        <v>45338</v>
      </c>
      <c r="E32" s="12">
        <v>700000</v>
      </c>
      <c r="F32" s="10" t="s">
        <v>22</v>
      </c>
      <c r="G32" s="10" t="s">
        <v>23</v>
      </c>
      <c r="H32" s="12">
        <v>700000</v>
      </c>
      <c r="I32" s="12">
        <v>363390</v>
      </c>
      <c r="J32" s="13">
        <f t="shared" si="5"/>
        <v>51.912857142857135</v>
      </c>
      <c r="K32" s="12">
        <v>726775</v>
      </c>
      <c r="L32" s="12">
        <f>H32-573836</f>
        <v>126164</v>
      </c>
      <c r="M32" s="12">
        <v>152939</v>
      </c>
      <c r="N32" s="12">
        <f t="shared" si="6"/>
        <v>140000</v>
      </c>
      <c r="O32" s="14">
        <v>0.51100000000000001</v>
      </c>
      <c r="P32" s="12">
        <f t="shared" si="7"/>
        <v>246896.28180039139</v>
      </c>
      <c r="Q32" s="15">
        <f t="shared" si="8"/>
        <v>5.6679587190172498</v>
      </c>
      <c r="R32" s="15">
        <f t="shared" si="9"/>
        <v>6.8708342992278233</v>
      </c>
      <c r="S32" s="10" t="s">
        <v>24</v>
      </c>
    </row>
    <row r="33" spans="1:19" x14ac:dyDescent="0.25">
      <c r="A33" s="10" t="s">
        <v>1739</v>
      </c>
      <c r="B33" s="10" t="s">
        <v>1740</v>
      </c>
      <c r="C33" s="10" t="s">
        <v>1730</v>
      </c>
      <c r="D33" s="11">
        <v>45257</v>
      </c>
      <c r="E33" s="12">
        <v>615000</v>
      </c>
      <c r="F33" s="10" t="s">
        <v>22</v>
      </c>
      <c r="G33" s="10" t="s">
        <v>23</v>
      </c>
      <c r="H33" s="12">
        <v>615000</v>
      </c>
      <c r="I33" s="12">
        <v>375800</v>
      </c>
      <c r="J33" s="13">
        <f t="shared" si="5"/>
        <v>61.105691056910572</v>
      </c>
      <c r="K33" s="12">
        <v>751607</v>
      </c>
      <c r="L33" s="12">
        <f>H33-618357</f>
        <v>-3357</v>
      </c>
      <c r="M33" s="12">
        <v>133250</v>
      </c>
      <c r="N33" s="12">
        <f t="shared" si="6"/>
        <v>123000</v>
      </c>
      <c r="O33" s="14">
        <v>0.46</v>
      </c>
      <c r="P33" s="12">
        <f t="shared" si="7"/>
        <v>-7297.8260869565211</v>
      </c>
      <c r="Q33" s="15">
        <f t="shared" si="8"/>
        <v>-0.16753503413582463</v>
      </c>
      <c r="R33" s="15">
        <f t="shared" si="9"/>
        <v>6.6499980037529447</v>
      </c>
      <c r="S33" s="10" t="s">
        <v>24</v>
      </c>
    </row>
    <row r="34" spans="1:19" x14ac:dyDescent="0.25">
      <c r="A34" s="10" t="s">
        <v>1741</v>
      </c>
      <c r="B34" s="10" t="s">
        <v>1742</v>
      </c>
      <c r="C34" s="10" t="s">
        <v>1730</v>
      </c>
      <c r="D34" s="11">
        <v>45492</v>
      </c>
      <c r="E34" s="12">
        <v>715000</v>
      </c>
      <c r="F34" s="10" t="s">
        <v>22</v>
      </c>
      <c r="G34" s="10" t="s">
        <v>23</v>
      </c>
      <c r="H34" s="12">
        <v>715000</v>
      </c>
      <c r="I34" s="12">
        <v>343320</v>
      </c>
      <c r="J34" s="13">
        <f t="shared" si="5"/>
        <v>48.016783216783217</v>
      </c>
      <c r="K34" s="12">
        <v>686649</v>
      </c>
      <c r="L34" s="12">
        <f>H34-532185</f>
        <v>182815</v>
      </c>
      <c r="M34" s="12">
        <v>154464</v>
      </c>
      <c r="N34" s="12">
        <f t="shared" si="6"/>
        <v>143000</v>
      </c>
      <c r="O34" s="14">
        <v>0.54600000000000004</v>
      </c>
      <c r="P34" s="12">
        <f t="shared" si="7"/>
        <v>334826.0073260073</v>
      </c>
      <c r="Q34" s="15">
        <f t="shared" si="8"/>
        <v>7.6865474592747312</v>
      </c>
      <c r="R34" s="15">
        <f t="shared" si="9"/>
        <v>6.4945155854246757</v>
      </c>
      <c r="S34" s="10" t="s">
        <v>24</v>
      </c>
    </row>
    <row r="35" spans="1:19" x14ac:dyDescent="0.25">
      <c r="A35" s="10" t="s">
        <v>1743</v>
      </c>
      <c r="B35" s="10" t="s">
        <v>1744</v>
      </c>
      <c r="C35" s="10" t="s">
        <v>1730</v>
      </c>
      <c r="D35" s="11">
        <v>45390</v>
      </c>
      <c r="E35" s="12">
        <v>650000</v>
      </c>
      <c r="F35" s="10" t="s">
        <v>29</v>
      </c>
      <c r="G35" s="10" t="s">
        <v>23</v>
      </c>
      <c r="H35" s="12">
        <v>650000</v>
      </c>
      <c r="I35" s="12">
        <v>255490</v>
      </c>
      <c r="J35" s="13">
        <f t="shared" si="5"/>
        <v>39.306153846153848</v>
      </c>
      <c r="K35" s="12">
        <v>510975</v>
      </c>
      <c r="L35" s="12">
        <f>H35-372541</f>
        <v>277459</v>
      </c>
      <c r="M35" s="12">
        <v>138434</v>
      </c>
      <c r="N35" s="12">
        <f t="shared" si="6"/>
        <v>130000</v>
      </c>
      <c r="O35" s="14">
        <v>0.45400000000000001</v>
      </c>
      <c r="P35" s="12">
        <f t="shared" si="7"/>
        <v>611143.17180616735</v>
      </c>
      <c r="Q35" s="15">
        <f t="shared" si="8"/>
        <v>14.029916708130564</v>
      </c>
      <c r="R35" s="15">
        <f t="shared" si="9"/>
        <v>7.0000161810334012</v>
      </c>
      <c r="S35" s="10" t="s">
        <v>24</v>
      </c>
    </row>
    <row r="36" spans="1:19" x14ac:dyDescent="0.25">
      <c r="A36" s="10" t="s">
        <v>1745</v>
      </c>
      <c r="B36" s="10" t="s">
        <v>1746</v>
      </c>
      <c r="C36" s="10" t="s">
        <v>1730</v>
      </c>
      <c r="D36" s="11">
        <v>45623</v>
      </c>
      <c r="E36" s="12">
        <v>472300</v>
      </c>
      <c r="F36" s="10" t="s">
        <v>22</v>
      </c>
      <c r="G36" s="10" t="s">
        <v>23</v>
      </c>
      <c r="H36" s="12">
        <v>472300</v>
      </c>
      <c r="I36" s="12">
        <v>321820</v>
      </c>
      <c r="J36" s="13">
        <f t="shared" si="5"/>
        <v>68.138894770273126</v>
      </c>
      <c r="K36" s="12">
        <v>643647</v>
      </c>
      <c r="L36" s="12">
        <f>H36-420750</f>
        <v>51550</v>
      </c>
      <c r="M36" s="12">
        <v>222897</v>
      </c>
      <c r="N36" s="12">
        <f t="shared" si="6"/>
        <v>94460</v>
      </c>
      <c r="O36" s="14">
        <v>0.65500000000000003</v>
      </c>
      <c r="P36" s="12">
        <f t="shared" si="7"/>
        <v>78702.290076335878</v>
      </c>
      <c r="Q36" s="15">
        <f t="shared" si="8"/>
        <v>1.8067559705311267</v>
      </c>
      <c r="R36" s="15">
        <f t="shared" si="9"/>
        <v>7.8122305637919789</v>
      </c>
      <c r="S36" s="10" t="s">
        <v>24</v>
      </c>
    </row>
    <row r="37" spans="1:19" x14ac:dyDescent="0.25">
      <c r="A37" s="10" t="s">
        <v>1747</v>
      </c>
      <c r="B37" s="10" t="s">
        <v>1748</v>
      </c>
      <c r="C37" s="10" t="s">
        <v>1730</v>
      </c>
      <c r="D37" s="11">
        <v>45615</v>
      </c>
      <c r="E37" s="12">
        <v>780000</v>
      </c>
      <c r="F37" s="10" t="s">
        <v>22</v>
      </c>
      <c r="G37" s="10" t="s">
        <v>23</v>
      </c>
      <c r="H37" s="12">
        <v>780000</v>
      </c>
      <c r="I37" s="12">
        <v>358180</v>
      </c>
      <c r="J37" s="13">
        <f t="shared" si="5"/>
        <v>45.920512820512819</v>
      </c>
      <c r="K37" s="12">
        <v>716361</v>
      </c>
      <c r="L37" s="12">
        <f>H37-494379</f>
        <v>285621</v>
      </c>
      <c r="M37" s="12">
        <v>221982</v>
      </c>
      <c r="N37" s="12">
        <f t="shared" si="6"/>
        <v>156000</v>
      </c>
      <c r="O37" s="14">
        <v>0.64</v>
      </c>
      <c r="P37" s="12">
        <f t="shared" si="7"/>
        <v>446282.8125</v>
      </c>
      <c r="Q37" s="15">
        <f t="shared" si="8"/>
        <v>10.245243629476583</v>
      </c>
      <c r="R37" s="15">
        <f t="shared" si="9"/>
        <v>7.9625086088154271</v>
      </c>
      <c r="S37" s="10" t="s">
        <v>24</v>
      </c>
    </row>
    <row r="38" spans="1:19" x14ac:dyDescent="0.25">
      <c r="A38" s="10" t="s">
        <v>1749</v>
      </c>
      <c r="B38" s="10" t="s">
        <v>1750</v>
      </c>
      <c r="C38" s="10" t="s">
        <v>1730</v>
      </c>
      <c r="D38" s="11">
        <v>45446</v>
      </c>
      <c r="E38" s="12">
        <v>650000</v>
      </c>
      <c r="F38" s="10" t="s">
        <v>22</v>
      </c>
      <c r="G38" s="10" t="s">
        <v>23</v>
      </c>
      <c r="H38" s="12">
        <v>650000</v>
      </c>
      <c r="I38" s="12">
        <v>213610</v>
      </c>
      <c r="J38" s="13">
        <f t="shared" si="5"/>
        <v>32.863076923076925</v>
      </c>
      <c r="K38" s="12">
        <v>427225</v>
      </c>
      <c r="L38" s="12">
        <f>H38-313642</f>
        <v>336358</v>
      </c>
      <c r="M38" s="12">
        <v>113583</v>
      </c>
      <c r="N38" s="12">
        <f t="shared" si="6"/>
        <v>130000</v>
      </c>
      <c r="O38" s="14">
        <v>0.72499999999999998</v>
      </c>
      <c r="P38" s="12">
        <f t="shared" si="7"/>
        <v>463942.06896551728</v>
      </c>
      <c r="Q38" s="15">
        <f t="shared" si="8"/>
        <v>10.650644374782306</v>
      </c>
      <c r="R38" s="15">
        <f t="shared" si="9"/>
        <v>3.5965612235204714</v>
      </c>
      <c r="S38" s="10" t="s">
        <v>24</v>
      </c>
    </row>
    <row r="39" spans="1:19" ht="15.75" thickBot="1" x14ac:dyDescent="0.3">
      <c r="A39" s="16"/>
      <c r="B39" s="16"/>
      <c r="C39" s="16"/>
      <c r="D39" s="17"/>
      <c r="E39" s="18"/>
      <c r="F39" s="16"/>
      <c r="G39" s="16"/>
      <c r="H39" s="18"/>
      <c r="I39" s="18"/>
      <c r="J39" s="19"/>
      <c r="K39" s="18"/>
      <c r="L39" s="18">
        <f>AVERAGE(L28:L38)</f>
        <v>227721</v>
      </c>
      <c r="M39" s="18">
        <f>AVERAGE(M28:M38)</f>
        <v>156126.18181818182</v>
      </c>
      <c r="N39" s="18">
        <f>AVERAGE(N28:N38)</f>
        <v>142205.45454545456</v>
      </c>
      <c r="O39" s="20"/>
      <c r="P39" s="18"/>
      <c r="Q39" s="21">
        <f>AVERAGE(Q28:Q38)</f>
        <v>9.9648392420567387</v>
      </c>
      <c r="R39" s="21">
        <f>AVERAGE(R28:R38)</f>
        <v>6.683733423493754</v>
      </c>
      <c r="S39" s="16"/>
    </row>
    <row r="40" spans="1:19" ht="15.75" thickTop="1" x14ac:dyDescent="0.25">
      <c r="A40" s="10"/>
      <c r="B40" s="10"/>
      <c r="C40" s="10"/>
      <c r="D40" s="11"/>
      <c r="E40" s="12"/>
      <c r="F40" s="10"/>
      <c r="G40" s="10"/>
      <c r="H40" s="12"/>
      <c r="I40" s="12"/>
      <c r="J40" s="13"/>
      <c r="K40" s="12"/>
      <c r="L40" s="12"/>
      <c r="M40" s="12"/>
      <c r="N40" s="12"/>
      <c r="O40" s="14"/>
      <c r="P40" s="12"/>
      <c r="Q40" s="15"/>
      <c r="R40" s="15"/>
      <c r="S40" s="10"/>
    </row>
    <row r="41" spans="1:19" x14ac:dyDescent="0.25">
      <c r="A41" s="10"/>
      <c r="B41" s="10"/>
      <c r="C41" s="10"/>
      <c r="D41" s="11"/>
      <c r="E41" s="12"/>
      <c r="F41" s="10"/>
      <c r="G41" s="10"/>
      <c r="H41" s="12"/>
      <c r="I41" s="12"/>
      <c r="J41" s="13"/>
      <c r="K41" s="12"/>
      <c r="L41" s="12"/>
      <c r="M41" s="12"/>
      <c r="N41" s="12"/>
      <c r="O41" s="14"/>
      <c r="P41" s="12"/>
      <c r="Q41" s="15"/>
      <c r="R41" s="15"/>
      <c r="S41" s="10"/>
    </row>
    <row r="42" spans="1:19" x14ac:dyDescent="0.25">
      <c r="A42" s="10" t="s">
        <v>1751</v>
      </c>
      <c r="B42" s="10" t="s">
        <v>1752</v>
      </c>
      <c r="C42" s="10" t="s">
        <v>1753</v>
      </c>
      <c r="D42" s="11">
        <v>45127</v>
      </c>
      <c r="E42" s="12">
        <v>1390000</v>
      </c>
      <c r="F42" s="10" t="s">
        <v>29</v>
      </c>
      <c r="G42" s="10" t="s">
        <v>23</v>
      </c>
      <c r="H42" s="12">
        <v>1390000</v>
      </c>
      <c r="I42" s="12">
        <v>606800</v>
      </c>
      <c r="J42" s="13">
        <f>I42/H42*100</f>
        <v>43.654676258992808</v>
      </c>
      <c r="K42" s="12">
        <v>1213602</v>
      </c>
      <c r="L42" s="12">
        <f>H42-858448</f>
        <v>531552</v>
      </c>
      <c r="M42" s="12">
        <v>355154</v>
      </c>
      <c r="N42" s="12">
        <f>E42*0.2</f>
        <v>278000</v>
      </c>
      <c r="O42" s="14">
        <v>0.75600000000000001</v>
      </c>
      <c r="P42" s="12">
        <f>L42/O42</f>
        <v>703111.11111111112</v>
      </c>
      <c r="Q42" s="15">
        <f>L42/O42/43560</f>
        <v>16.141210080604019</v>
      </c>
      <c r="R42" s="15">
        <f>M42/O42/43560</f>
        <v>10.78467454730081</v>
      </c>
      <c r="S42" s="10" t="s">
        <v>24</v>
      </c>
    </row>
    <row r="43" spans="1:19" ht="15.75" thickBot="1" x14ac:dyDescent="0.3">
      <c r="A43" s="16"/>
      <c r="B43" s="16"/>
      <c r="C43" s="16"/>
      <c r="D43" s="17"/>
      <c r="E43" s="18"/>
      <c r="F43" s="16"/>
      <c r="G43" s="16"/>
      <c r="H43" s="18"/>
      <c r="I43" s="18"/>
      <c r="J43" s="19"/>
      <c r="K43" s="18"/>
      <c r="L43" s="18">
        <f>AVERAGE(L42)</f>
        <v>531552</v>
      </c>
      <c r="M43" s="18">
        <f>AVERAGE(M42)</f>
        <v>355154</v>
      </c>
      <c r="N43" s="18">
        <f>AVERAGE(N42)</f>
        <v>278000</v>
      </c>
      <c r="O43" s="20"/>
      <c r="P43" s="18"/>
      <c r="Q43" s="21">
        <f>AVERAGE(Q42)</f>
        <v>16.141210080604019</v>
      </c>
      <c r="R43" s="21">
        <f>AVERAGE(R42)</f>
        <v>10.78467454730081</v>
      </c>
      <c r="S43" s="16"/>
    </row>
    <row r="44" spans="1:19" ht="15.75" thickTop="1" x14ac:dyDescent="0.25">
      <c r="A44" s="10"/>
      <c r="B44" s="10"/>
      <c r="C44" s="10"/>
      <c r="D44" s="11"/>
      <c r="E44" s="12"/>
      <c r="F44" s="10"/>
      <c r="G44" s="10"/>
      <c r="H44" s="12"/>
      <c r="I44" s="12"/>
      <c r="J44" s="13"/>
      <c r="K44" s="12"/>
      <c r="L44" s="12"/>
      <c r="M44" s="12"/>
      <c r="N44" s="12"/>
      <c r="O44" s="14"/>
      <c r="P44" s="12"/>
      <c r="Q44" s="15"/>
      <c r="R44" s="15"/>
      <c r="S44" s="10"/>
    </row>
    <row r="45" spans="1:19" x14ac:dyDescent="0.25">
      <c r="A45" s="10"/>
      <c r="B45" s="10"/>
      <c r="C45" s="10"/>
      <c r="D45" s="11"/>
      <c r="E45" s="12"/>
      <c r="F45" s="10"/>
      <c r="G45" s="10"/>
      <c r="H45" s="12"/>
      <c r="I45" s="12"/>
      <c r="J45" s="13"/>
      <c r="K45" s="12"/>
      <c r="L45" s="12"/>
      <c r="M45" s="12"/>
      <c r="N45" s="12"/>
      <c r="O45" s="14"/>
      <c r="P45" s="12"/>
      <c r="Q45" s="15"/>
      <c r="R45" s="15"/>
      <c r="S45" s="10"/>
    </row>
    <row r="46" spans="1:19" x14ac:dyDescent="0.25">
      <c r="A46" s="10" t="s">
        <v>1754</v>
      </c>
      <c r="B46" s="10" t="s">
        <v>1755</v>
      </c>
      <c r="C46" s="10" t="s">
        <v>1756</v>
      </c>
      <c r="D46" s="11">
        <v>45363</v>
      </c>
      <c r="E46" s="12">
        <v>1075000</v>
      </c>
      <c r="F46" s="10" t="s">
        <v>29</v>
      </c>
      <c r="G46" s="10" t="s">
        <v>23</v>
      </c>
      <c r="H46" s="12">
        <v>1075000</v>
      </c>
      <c r="I46" s="12">
        <v>675770</v>
      </c>
      <c r="J46" s="13">
        <f t="shared" ref="J46:J55" si="10">I46/H46*100</f>
        <v>62.862325581395353</v>
      </c>
      <c r="K46" s="12">
        <v>1351545</v>
      </c>
      <c r="L46" s="12">
        <f>H46-1019545</f>
        <v>55455</v>
      </c>
      <c r="M46" s="12">
        <v>332000</v>
      </c>
      <c r="N46" s="12">
        <f t="shared" ref="N46:N55" si="11">E46*0.2</f>
        <v>215000</v>
      </c>
      <c r="O46" s="14">
        <v>1</v>
      </c>
      <c r="P46" s="12">
        <f t="shared" ref="P46:P55" si="12">L46/O46</f>
        <v>55455</v>
      </c>
      <c r="Q46" s="15">
        <f t="shared" ref="Q46:Q55" si="13">L46/O46/43560</f>
        <v>1.2730716253443526</v>
      </c>
      <c r="R46" s="15">
        <f t="shared" ref="R46:R55" si="14">M46/O46/43560</f>
        <v>7.621671258034894</v>
      </c>
      <c r="S46" s="10" t="s">
        <v>97</v>
      </c>
    </row>
    <row r="47" spans="1:19" x14ac:dyDescent="0.25">
      <c r="A47" s="10" t="s">
        <v>1757</v>
      </c>
      <c r="B47" s="10" t="s">
        <v>1758</v>
      </c>
      <c r="C47" s="10" t="s">
        <v>1756</v>
      </c>
      <c r="D47" s="11">
        <v>45259</v>
      </c>
      <c r="E47" s="12">
        <v>1050000</v>
      </c>
      <c r="F47" s="10" t="s">
        <v>29</v>
      </c>
      <c r="G47" s="10" t="s">
        <v>23</v>
      </c>
      <c r="H47" s="12">
        <v>1050000</v>
      </c>
      <c r="I47" s="12">
        <v>583280</v>
      </c>
      <c r="J47" s="13">
        <f t="shared" si="10"/>
        <v>55.550476190476196</v>
      </c>
      <c r="K47" s="12">
        <v>1166558</v>
      </c>
      <c r="L47" s="12">
        <f>H47-868558</f>
        <v>181442</v>
      </c>
      <c r="M47" s="12">
        <v>298000</v>
      </c>
      <c r="N47" s="12">
        <f t="shared" si="11"/>
        <v>210000</v>
      </c>
      <c r="O47" s="14">
        <v>1</v>
      </c>
      <c r="P47" s="12">
        <f t="shared" si="12"/>
        <v>181442</v>
      </c>
      <c r="Q47" s="15">
        <f t="shared" si="13"/>
        <v>4.165335169880624</v>
      </c>
      <c r="R47" s="15">
        <f t="shared" si="14"/>
        <v>6.8411386593204773</v>
      </c>
      <c r="S47" s="10" t="s">
        <v>97</v>
      </c>
    </row>
    <row r="48" spans="1:19" x14ac:dyDescent="0.25">
      <c r="A48" s="10" t="s">
        <v>1759</v>
      </c>
      <c r="B48" s="10" t="s">
        <v>1760</v>
      </c>
      <c r="C48" s="10" t="s">
        <v>1756</v>
      </c>
      <c r="D48" s="11">
        <v>45484</v>
      </c>
      <c r="E48" s="12">
        <v>775000</v>
      </c>
      <c r="F48" s="10" t="s">
        <v>22</v>
      </c>
      <c r="G48" s="10" t="s">
        <v>23</v>
      </c>
      <c r="H48" s="12">
        <v>775000</v>
      </c>
      <c r="I48" s="12">
        <v>498520</v>
      </c>
      <c r="J48" s="13">
        <f t="shared" si="10"/>
        <v>64.325161290322583</v>
      </c>
      <c r="K48" s="12">
        <v>997040</v>
      </c>
      <c r="L48" s="12">
        <f>H48-843040</f>
        <v>-68040</v>
      </c>
      <c r="M48" s="12">
        <v>154000</v>
      </c>
      <c r="N48" s="12">
        <f t="shared" si="11"/>
        <v>155000</v>
      </c>
      <c r="O48" s="14">
        <v>1</v>
      </c>
      <c r="P48" s="12">
        <f t="shared" si="12"/>
        <v>-68040</v>
      </c>
      <c r="Q48" s="15">
        <f t="shared" si="13"/>
        <v>-1.5619834710743801</v>
      </c>
      <c r="R48" s="15">
        <f t="shared" si="14"/>
        <v>3.5353535353535355</v>
      </c>
      <c r="S48" s="10" t="s">
        <v>97</v>
      </c>
    </row>
    <row r="49" spans="1:19" x14ac:dyDescent="0.25">
      <c r="A49" s="10" t="s">
        <v>1761</v>
      </c>
      <c r="B49" s="10" t="s">
        <v>1762</v>
      </c>
      <c r="C49" s="10" t="s">
        <v>1756</v>
      </c>
      <c r="D49" s="11">
        <v>45638</v>
      </c>
      <c r="E49" s="12">
        <v>1450000</v>
      </c>
      <c r="F49" s="10" t="s">
        <v>22</v>
      </c>
      <c r="G49" s="10" t="s">
        <v>23</v>
      </c>
      <c r="H49" s="12">
        <v>1450000</v>
      </c>
      <c r="I49" s="12">
        <v>645170</v>
      </c>
      <c r="J49" s="13">
        <f t="shared" si="10"/>
        <v>44.494482758620691</v>
      </c>
      <c r="K49" s="12">
        <v>1290348</v>
      </c>
      <c r="L49" s="12">
        <f>H49-1090348</f>
        <v>359652</v>
      </c>
      <c r="M49" s="12">
        <v>200000</v>
      </c>
      <c r="N49" s="12">
        <f t="shared" si="11"/>
        <v>290000</v>
      </c>
      <c r="O49" s="14">
        <v>1</v>
      </c>
      <c r="P49" s="12">
        <f t="shared" si="12"/>
        <v>359652</v>
      </c>
      <c r="Q49" s="15">
        <f t="shared" si="13"/>
        <v>8.2564738292011022</v>
      </c>
      <c r="R49" s="15">
        <f t="shared" si="14"/>
        <v>4.5913682277318637</v>
      </c>
      <c r="S49" s="10" t="s">
        <v>97</v>
      </c>
    </row>
    <row r="50" spans="1:19" x14ac:dyDescent="0.25">
      <c r="A50" s="10" t="s">
        <v>1763</v>
      </c>
      <c r="B50" s="10" t="s">
        <v>1764</v>
      </c>
      <c r="C50" s="10" t="s">
        <v>1756</v>
      </c>
      <c r="D50" s="11">
        <v>45422</v>
      </c>
      <c r="E50" s="12">
        <v>1053000</v>
      </c>
      <c r="F50" s="10" t="s">
        <v>29</v>
      </c>
      <c r="G50" s="10" t="s">
        <v>23</v>
      </c>
      <c r="H50" s="12">
        <v>1053000</v>
      </c>
      <c r="I50" s="12">
        <v>652810</v>
      </c>
      <c r="J50" s="13">
        <f t="shared" si="10"/>
        <v>61.995251661918324</v>
      </c>
      <c r="K50" s="12">
        <v>1305629</v>
      </c>
      <c r="L50" s="12">
        <f>H50-1105629</f>
        <v>-52629</v>
      </c>
      <c r="M50" s="12">
        <v>200000</v>
      </c>
      <c r="N50" s="12">
        <f t="shared" si="11"/>
        <v>210600</v>
      </c>
      <c r="O50" s="14">
        <v>1</v>
      </c>
      <c r="P50" s="12">
        <f t="shared" si="12"/>
        <v>-52629</v>
      </c>
      <c r="Q50" s="15">
        <f t="shared" si="13"/>
        <v>-1.2081955922865013</v>
      </c>
      <c r="R50" s="15">
        <f t="shared" si="14"/>
        <v>4.5913682277318637</v>
      </c>
      <c r="S50" s="10" t="s">
        <v>97</v>
      </c>
    </row>
    <row r="51" spans="1:19" x14ac:dyDescent="0.25">
      <c r="A51" s="10" t="s">
        <v>1765</v>
      </c>
      <c r="B51" s="10" t="s">
        <v>1766</v>
      </c>
      <c r="C51" s="10" t="s">
        <v>1756</v>
      </c>
      <c r="D51" s="11">
        <v>45177</v>
      </c>
      <c r="E51" s="12">
        <v>1400000</v>
      </c>
      <c r="F51" s="10" t="s">
        <v>29</v>
      </c>
      <c r="G51" s="10" t="s">
        <v>23</v>
      </c>
      <c r="H51" s="12">
        <v>1400000</v>
      </c>
      <c r="I51" s="12">
        <v>768600</v>
      </c>
      <c r="J51" s="13">
        <f t="shared" si="10"/>
        <v>54.900000000000006</v>
      </c>
      <c r="K51" s="12">
        <v>1537206</v>
      </c>
      <c r="L51" s="12">
        <f>H51-1337206</f>
        <v>62794</v>
      </c>
      <c r="M51" s="12">
        <v>200000</v>
      </c>
      <c r="N51" s="12">
        <f t="shared" si="11"/>
        <v>280000</v>
      </c>
      <c r="O51" s="14">
        <v>1</v>
      </c>
      <c r="P51" s="12">
        <f t="shared" si="12"/>
        <v>62794</v>
      </c>
      <c r="Q51" s="15">
        <f t="shared" si="13"/>
        <v>1.4415518824609734</v>
      </c>
      <c r="R51" s="15">
        <f t="shared" si="14"/>
        <v>4.5913682277318637</v>
      </c>
      <c r="S51" s="10" t="s">
        <v>97</v>
      </c>
    </row>
    <row r="52" spans="1:19" x14ac:dyDescent="0.25">
      <c r="A52" s="10" t="s">
        <v>1767</v>
      </c>
      <c r="B52" s="10" t="s">
        <v>1768</v>
      </c>
      <c r="C52" s="10" t="s">
        <v>1756</v>
      </c>
      <c r="D52" s="11">
        <v>45534</v>
      </c>
      <c r="E52" s="12">
        <v>1550000</v>
      </c>
      <c r="F52" s="10" t="s">
        <v>22</v>
      </c>
      <c r="G52" s="10" t="s">
        <v>23</v>
      </c>
      <c r="H52" s="12">
        <v>1550000</v>
      </c>
      <c r="I52" s="12">
        <v>916270</v>
      </c>
      <c r="J52" s="13">
        <f t="shared" si="10"/>
        <v>59.114193548387092</v>
      </c>
      <c r="K52" s="12">
        <v>1832548</v>
      </c>
      <c r="L52" s="12">
        <f>H52-1258548</f>
        <v>291452</v>
      </c>
      <c r="M52" s="12">
        <v>574000</v>
      </c>
      <c r="N52" s="12">
        <f t="shared" si="11"/>
        <v>310000</v>
      </c>
      <c r="O52" s="14">
        <v>1</v>
      </c>
      <c r="P52" s="12">
        <f t="shared" si="12"/>
        <v>291452</v>
      </c>
      <c r="Q52" s="15">
        <f t="shared" si="13"/>
        <v>6.6908172635445364</v>
      </c>
      <c r="R52" s="15">
        <f t="shared" si="14"/>
        <v>13.177226813590449</v>
      </c>
      <c r="S52" s="10" t="s">
        <v>97</v>
      </c>
    </row>
    <row r="53" spans="1:19" x14ac:dyDescent="0.25">
      <c r="A53" s="10" t="s">
        <v>1769</v>
      </c>
      <c r="B53" s="10" t="s">
        <v>1770</v>
      </c>
      <c r="C53" s="10" t="s">
        <v>1756</v>
      </c>
      <c r="D53" s="11">
        <v>45414</v>
      </c>
      <c r="E53" s="12">
        <v>1300000</v>
      </c>
      <c r="F53" s="10" t="s">
        <v>22</v>
      </c>
      <c r="G53" s="10" t="s">
        <v>23</v>
      </c>
      <c r="H53" s="12">
        <v>1300000</v>
      </c>
      <c r="I53" s="12">
        <v>910780</v>
      </c>
      <c r="J53" s="13">
        <f t="shared" si="10"/>
        <v>70.06</v>
      </c>
      <c r="K53" s="12">
        <v>1821550</v>
      </c>
      <c r="L53" s="12">
        <f>H53-1247550</f>
        <v>52450</v>
      </c>
      <c r="M53" s="12">
        <v>574000</v>
      </c>
      <c r="N53" s="12">
        <f t="shared" si="11"/>
        <v>260000</v>
      </c>
      <c r="O53" s="14">
        <v>1</v>
      </c>
      <c r="P53" s="12">
        <f t="shared" si="12"/>
        <v>52450</v>
      </c>
      <c r="Q53" s="15">
        <f t="shared" si="13"/>
        <v>1.2040863177226813</v>
      </c>
      <c r="R53" s="15">
        <f t="shared" si="14"/>
        <v>13.177226813590449</v>
      </c>
      <c r="S53" s="10" t="s">
        <v>97</v>
      </c>
    </row>
    <row r="54" spans="1:19" x14ac:dyDescent="0.25">
      <c r="A54" s="10" t="s">
        <v>1771</v>
      </c>
      <c r="B54" s="10" t="s">
        <v>1772</v>
      </c>
      <c r="C54" s="10" t="s">
        <v>1756</v>
      </c>
      <c r="D54" s="11">
        <v>45114</v>
      </c>
      <c r="E54" s="12">
        <v>1000000</v>
      </c>
      <c r="F54" s="10" t="s">
        <v>22</v>
      </c>
      <c r="G54" s="10" t="s">
        <v>23</v>
      </c>
      <c r="H54" s="12">
        <v>1000000</v>
      </c>
      <c r="I54" s="12">
        <v>692910</v>
      </c>
      <c r="J54" s="13">
        <f t="shared" si="10"/>
        <v>69.290999999999997</v>
      </c>
      <c r="K54" s="12">
        <v>1385813</v>
      </c>
      <c r="L54" s="12">
        <f>H54-1231813</f>
        <v>-231813</v>
      </c>
      <c r="M54" s="12">
        <v>154000</v>
      </c>
      <c r="N54" s="12">
        <f t="shared" si="11"/>
        <v>200000</v>
      </c>
      <c r="O54" s="14">
        <v>1</v>
      </c>
      <c r="P54" s="12">
        <f t="shared" si="12"/>
        <v>-231813</v>
      </c>
      <c r="Q54" s="15">
        <f t="shared" si="13"/>
        <v>-5.3216942148760333</v>
      </c>
      <c r="R54" s="15">
        <f t="shared" si="14"/>
        <v>3.5353535353535355</v>
      </c>
      <c r="S54" s="10" t="s">
        <v>97</v>
      </c>
    </row>
    <row r="55" spans="1:19" x14ac:dyDescent="0.25">
      <c r="A55" s="10" t="s">
        <v>1773</v>
      </c>
      <c r="B55" s="10" t="s">
        <v>1774</v>
      </c>
      <c r="C55" s="10" t="s">
        <v>1756</v>
      </c>
      <c r="D55" s="11">
        <v>45281</v>
      </c>
      <c r="E55" s="12">
        <v>1075000</v>
      </c>
      <c r="F55" s="10" t="s">
        <v>22</v>
      </c>
      <c r="G55" s="10" t="s">
        <v>23</v>
      </c>
      <c r="H55" s="12">
        <v>1075000</v>
      </c>
      <c r="I55" s="12">
        <v>744470</v>
      </c>
      <c r="J55" s="13">
        <f t="shared" si="10"/>
        <v>69.253023255813957</v>
      </c>
      <c r="K55" s="12">
        <v>1488941</v>
      </c>
      <c r="L55" s="12">
        <f>H55-1334941</f>
        <v>-259941</v>
      </c>
      <c r="M55" s="12">
        <v>154000</v>
      </c>
      <c r="N55" s="12">
        <f t="shared" si="11"/>
        <v>215000</v>
      </c>
      <c r="O55" s="14">
        <v>1</v>
      </c>
      <c r="P55" s="12">
        <f t="shared" si="12"/>
        <v>-259941</v>
      </c>
      <c r="Q55" s="15">
        <f t="shared" si="13"/>
        <v>-5.9674242424242427</v>
      </c>
      <c r="R55" s="15">
        <f t="shared" si="14"/>
        <v>3.5353535353535355</v>
      </c>
      <c r="S55" s="10" t="s">
        <v>97</v>
      </c>
    </row>
    <row r="56" spans="1:19" ht="15.75" thickBot="1" x14ac:dyDescent="0.3">
      <c r="A56" s="16"/>
      <c r="B56" s="16"/>
      <c r="C56" s="16"/>
      <c r="D56" s="17"/>
      <c r="E56" s="18"/>
      <c r="F56" s="16"/>
      <c r="G56" s="16"/>
      <c r="H56" s="18"/>
      <c r="I56" s="18"/>
      <c r="J56" s="19"/>
      <c r="K56" s="18"/>
      <c r="L56" s="18">
        <f>AVERAGE(L46:L55)</f>
        <v>39082.199999999997</v>
      </c>
      <c r="M56" s="18">
        <f>AVERAGE(M46:M55)</f>
        <v>284000</v>
      </c>
      <c r="N56" s="18">
        <f>AVERAGE(N46:N55)</f>
        <v>234560</v>
      </c>
      <c r="O56" s="20"/>
      <c r="P56" s="18"/>
      <c r="Q56" s="21">
        <f>AVERAGE(Q46:Q55)</f>
        <v>0.89720385674931113</v>
      </c>
      <c r="R56" s="21">
        <f>AVERAGE(R46:R55)</f>
        <v>6.519742883379247</v>
      </c>
      <c r="S56" s="16"/>
    </row>
    <row r="57" spans="1:19" ht="15.75" thickTop="1" x14ac:dyDescent="0.25"/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58948-0F3E-44E9-A0BA-15B505B134E6}">
  <dimension ref="A1:S53"/>
  <sheetViews>
    <sheetView tabSelected="1" workbookViewId="0">
      <selection activeCell="G19" sqref="G19"/>
    </sheetView>
  </sheetViews>
  <sheetFormatPr defaultRowHeight="15" x14ac:dyDescent="0.25"/>
  <cols>
    <col min="1" max="1" width="12.42578125" bestFit="1" customWidth="1"/>
    <col min="2" max="2" width="19.28515625" bestFit="1" customWidth="1"/>
    <col min="3" max="3" width="12.5703125" bestFit="1" customWidth="1"/>
    <col min="7" max="7" width="13.140625" bestFit="1" customWidth="1"/>
    <col min="13" max="13" width="10.8554687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180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1775</v>
      </c>
      <c r="B2" s="10" t="s">
        <v>1776</v>
      </c>
      <c r="C2" s="10" t="s">
        <v>1777</v>
      </c>
      <c r="D2" s="11">
        <v>45670</v>
      </c>
      <c r="E2" s="12">
        <v>752000</v>
      </c>
      <c r="F2" s="10" t="s">
        <v>22</v>
      </c>
      <c r="G2" s="10" t="s">
        <v>23</v>
      </c>
      <c r="H2" s="12">
        <v>752000</v>
      </c>
      <c r="I2" s="12">
        <v>438040</v>
      </c>
      <c r="J2" s="13">
        <f>I2/H2*100</f>
        <v>58.25</v>
      </c>
      <c r="K2" s="12">
        <v>876071</v>
      </c>
      <c r="L2" s="12">
        <f>H2-715770</f>
        <v>36230</v>
      </c>
      <c r="M2" s="12">
        <v>160301</v>
      </c>
      <c r="N2" s="12">
        <f>E2*0.2</f>
        <v>150400</v>
      </c>
      <c r="O2" s="14">
        <v>0.46</v>
      </c>
      <c r="P2" s="12">
        <f>L2/O2</f>
        <v>78760.869565217392</v>
      </c>
      <c r="Q2" s="15">
        <f>L2/O2/43560</f>
        <v>1.8081007705513634</v>
      </c>
      <c r="R2" s="15">
        <f>M2/O2/43560</f>
        <v>8.0000099812352783</v>
      </c>
      <c r="S2" s="10" t="s">
        <v>24</v>
      </c>
    </row>
    <row r="3" spans="1:19" x14ac:dyDescent="0.25">
      <c r="A3" s="10" t="s">
        <v>1778</v>
      </c>
      <c r="B3" s="10" t="s">
        <v>1779</v>
      </c>
      <c r="C3" s="10" t="s">
        <v>1777</v>
      </c>
      <c r="D3" s="11">
        <v>45271</v>
      </c>
      <c r="E3" s="12">
        <v>707077</v>
      </c>
      <c r="F3" s="10" t="s">
        <v>22</v>
      </c>
      <c r="G3" s="10" t="s">
        <v>23</v>
      </c>
      <c r="H3" s="12">
        <v>707077</v>
      </c>
      <c r="I3" s="12">
        <v>408780</v>
      </c>
      <c r="J3" s="13">
        <f>I3/H3*100</f>
        <v>57.812656895925052</v>
      </c>
      <c r="K3" s="12">
        <v>817558</v>
      </c>
      <c r="L3" s="12">
        <f>H3-655166</f>
        <v>51911</v>
      </c>
      <c r="M3" s="12">
        <v>162392</v>
      </c>
      <c r="N3" s="12">
        <f>E3*0.2</f>
        <v>141415.4</v>
      </c>
      <c r="O3" s="14">
        <v>0.46600000000000003</v>
      </c>
      <c r="P3" s="12">
        <f>L3/O3</f>
        <v>111396.9957081545</v>
      </c>
      <c r="Q3" s="15">
        <f>L3/O3/43560</f>
        <v>2.5573231337960172</v>
      </c>
      <c r="R3" s="15">
        <f>M3/O3/43560</f>
        <v>8.0000157643544298</v>
      </c>
      <c r="S3" s="10" t="s">
        <v>24</v>
      </c>
    </row>
    <row r="4" spans="1:19" x14ac:dyDescent="0.25">
      <c r="A4" s="10" t="s">
        <v>1780</v>
      </c>
      <c r="B4" s="10" t="s">
        <v>1781</v>
      </c>
      <c r="C4" s="10" t="s">
        <v>1777</v>
      </c>
      <c r="D4" s="11">
        <v>45322</v>
      </c>
      <c r="E4" s="12">
        <v>640000</v>
      </c>
      <c r="F4" s="10" t="s">
        <v>22</v>
      </c>
      <c r="G4" s="10" t="s">
        <v>23</v>
      </c>
      <c r="H4" s="12">
        <v>640000</v>
      </c>
      <c r="I4" s="12">
        <v>235540</v>
      </c>
      <c r="J4" s="13">
        <f>I4/H4*100</f>
        <v>36.803124999999994</v>
      </c>
      <c r="K4" s="12">
        <v>471070</v>
      </c>
      <c r="L4" s="12">
        <f>H4-295088</f>
        <v>344912</v>
      </c>
      <c r="M4" s="12">
        <v>175982</v>
      </c>
      <c r="N4" s="12">
        <f>E4*0.2</f>
        <v>128000</v>
      </c>
      <c r="O4" s="14">
        <v>0.52</v>
      </c>
      <c r="P4" s="12">
        <f>L4/O4</f>
        <v>663292.30769230763</v>
      </c>
      <c r="Q4" s="15">
        <f>L4/O4/43560</f>
        <v>15.227096136187043</v>
      </c>
      <c r="R4" s="15">
        <f>M4/O4/43560</f>
        <v>7.7692131101222008</v>
      </c>
      <c r="S4" s="10" t="s">
        <v>24</v>
      </c>
    </row>
    <row r="5" spans="1:19" x14ac:dyDescent="0.25">
      <c r="A5" s="10" t="s">
        <v>1782</v>
      </c>
      <c r="B5" s="10" t="s">
        <v>1783</v>
      </c>
      <c r="C5" s="10" t="s">
        <v>1777</v>
      </c>
      <c r="D5" s="11">
        <v>45442</v>
      </c>
      <c r="E5" s="12">
        <v>459900</v>
      </c>
      <c r="F5" s="10" t="s">
        <v>29</v>
      </c>
      <c r="G5" s="10" t="s">
        <v>23</v>
      </c>
      <c r="H5" s="12">
        <v>459900</v>
      </c>
      <c r="I5" s="12">
        <v>94540</v>
      </c>
      <c r="J5" s="13">
        <f>I5/H5*100</f>
        <v>20.55664274842357</v>
      </c>
      <c r="K5" s="12">
        <v>189074</v>
      </c>
      <c r="L5" s="12">
        <f>H5-0</f>
        <v>459900</v>
      </c>
      <c r="M5" s="12">
        <v>189074</v>
      </c>
      <c r="N5" s="12">
        <f>E5*0.2</f>
        <v>91980</v>
      </c>
      <c r="O5" s="14">
        <v>0.79600000000000004</v>
      </c>
      <c r="P5" s="12">
        <f>L5/O5</f>
        <v>577763.81909547735</v>
      </c>
      <c r="Q5" s="15">
        <f>L5/O5/43560</f>
        <v>13.263632210639976</v>
      </c>
      <c r="R5" s="15">
        <f>M5/O5/43560</f>
        <v>5.4529419364960701</v>
      </c>
      <c r="S5" s="10" t="s">
        <v>24</v>
      </c>
    </row>
    <row r="6" spans="1:19" x14ac:dyDescent="0.25">
      <c r="A6" s="10" t="s">
        <v>1784</v>
      </c>
      <c r="B6" s="10" t="s">
        <v>1785</v>
      </c>
      <c r="C6" s="10" t="s">
        <v>1777</v>
      </c>
      <c r="D6" s="11">
        <v>45643</v>
      </c>
      <c r="E6" s="12">
        <v>750089</v>
      </c>
      <c r="F6" s="10" t="s">
        <v>22</v>
      </c>
      <c r="G6" s="10" t="s">
        <v>23</v>
      </c>
      <c r="H6" s="12">
        <v>750089</v>
      </c>
      <c r="I6" s="12">
        <v>321360</v>
      </c>
      <c r="J6" s="13">
        <f>I6/H6*100</f>
        <v>42.842915973971088</v>
      </c>
      <c r="K6" s="12">
        <v>642720</v>
      </c>
      <c r="L6" s="12">
        <f>H6-432064</f>
        <v>318025</v>
      </c>
      <c r="M6" s="12">
        <v>210656</v>
      </c>
      <c r="N6" s="12">
        <f>E6*0.2</f>
        <v>150017.80000000002</v>
      </c>
      <c r="O6" s="14">
        <v>0.97399999999999998</v>
      </c>
      <c r="P6" s="12">
        <f>L6/O6</f>
        <v>326514.37371663243</v>
      </c>
      <c r="Q6" s="15">
        <f>L6/O6/43560</f>
        <v>7.495738606901571</v>
      </c>
      <c r="R6" s="15">
        <f>M6/O6/43560</f>
        <v>4.9650886313197304</v>
      </c>
      <c r="S6" s="10" t="s">
        <v>24</v>
      </c>
    </row>
    <row r="7" spans="1:19" ht="15.75" thickBot="1" x14ac:dyDescent="0.3">
      <c r="A7" s="16"/>
      <c r="B7" s="16"/>
      <c r="C7" s="16"/>
      <c r="D7" s="17"/>
      <c r="E7" s="18"/>
      <c r="F7" s="16"/>
      <c r="G7" s="16"/>
      <c r="H7" s="18"/>
      <c r="I7" s="18"/>
      <c r="J7" s="19"/>
      <c r="K7" s="18"/>
      <c r="L7" s="18">
        <f>AVERAGE(L2:L6)</f>
        <v>242195.6</v>
      </c>
      <c r="M7" s="18">
        <f>AVERAGE(M2:M6)</f>
        <v>179681</v>
      </c>
      <c r="N7" s="18">
        <f>AVERAGE(N2:N6)</f>
        <v>132362.64000000001</v>
      </c>
      <c r="O7" s="20"/>
      <c r="P7" s="18"/>
      <c r="Q7" s="21">
        <f>AVERAGE(Q2:Q6)</f>
        <v>8.070378171615193</v>
      </c>
      <c r="R7" s="21">
        <f>AVERAGE(R2:R6)</f>
        <v>6.8374538847055417</v>
      </c>
      <c r="S7" s="16"/>
    </row>
    <row r="8" spans="1:19" ht="15.75" thickTop="1" x14ac:dyDescent="0.25">
      <c r="A8" s="10"/>
      <c r="B8" s="10"/>
      <c r="C8" s="10"/>
      <c r="D8" s="11"/>
      <c r="E8" s="12"/>
      <c r="F8" s="10"/>
      <c r="G8" s="10"/>
      <c r="H8" s="12"/>
      <c r="I8" s="12"/>
      <c r="J8" s="13"/>
      <c r="K8" s="12"/>
      <c r="L8" s="12"/>
      <c r="M8" s="12"/>
      <c r="N8" s="12"/>
      <c r="O8" s="14"/>
      <c r="P8" s="12"/>
      <c r="Q8" s="15"/>
      <c r="R8" s="15"/>
      <c r="S8" s="10"/>
    </row>
    <row r="9" spans="1:19" x14ac:dyDescent="0.25">
      <c r="A9" s="10"/>
      <c r="B9" s="10"/>
      <c r="C9" s="10"/>
      <c r="D9" s="11"/>
      <c r="E9" s="12"/>
      <c r="F9" s="10"/>
      <c r="G9" s="10"/>
      <c r="H9" s="12"/>
      <c r="I9" s="12"/>
      <c r="J9" s="13"/>
      <c r="K9" s="12"/>
      <c r="L9" s="12"/>
      <c r="M9" s="12"/>
      <c r="N9" s="12"/>
      <c r="O9" s="14"/>
      <c r="P9" s="12"/>
      <c r="Q9" s="15"/>
      <c r="R9" s="15"/>
      <c r="S9" s="10"/>
    </row>
    <row r="10" spans="1:19" x14ac:dyDescent="0.25">
      <c r="A10" s="10" t="s">
        <v>1786</v>
      </c>
      <c r="B10" s="10" t="s">
        <v>1787</v>
      </c>
      <c r="C10" s="10" t="s">
        <v>1788</v>
      </c>
      <c r="D10" s="11">
        <v>45464</v>
      </c>
      <c r="E10" s="12">
        <v>2270000</v>
      </c>
      <c r="F10" s="10" t="s">
        <v>22</v>
      </c>
      <c r="G10" s="10" t="s">
        <v>23</v>
      </c>
      <c r="H10" s="12">
        <v>2270000</v>
      </c>
      <c r="I10" s="12">
        <v>1102950</v>
      </c>
      <c r="J10" s="13">
        <f t="shared" ref="J10:J15" si="0">I10/H10*100</f>
        <v>48.58810572687225</v>
      </c>
      <c r="K10" s="12">
        <v>2205903</v>
      </c>
      <c r="L10" s="12">
        <f>H10-1863554</f>
        <v>406446</v>
      </c>
      <c r="M10" s="12">
        <v>342349</v>
      </c>
      <c r="N10" s="12">
        <f t="shared" ref="N10:N15" si="1">E10*0.2</f>
        <v>454000</v>
      </c>
      <c r="O10" s="14">
        <v>1.6910000000000001</v>
      </c>
      <c r="P10" s="12">
        <f t="shared" ref="P10:P15" si="2">L10/O10</f>
        <v>240358.36782968655</v>
      </c>
      <c r="Q10" s="15">
        <f t="shared" ref="Q10:Q15" si="3">L10/O10/43560</f>
        <v>5.5178688666135569</v>
      </c>
      <c r="R10" s="15">
        <f t="shared" ref="R10:R15" si="4">M10/O10/43560</f>
        <v>4.6476946226959672</v>
      </c>
      <c r="S10" s="10" t="s">
        <v>24</v>
      </c>
    </row>
    <row r="11" spans="1:19" x14ac:dyDescent="0.25">
      <c r="A11" s="10" t="s">
        <v>1789</v>
      </c>
      <c r="B11" s="10" t="s">
        <v>1790</v>
      </c>
      <c r="C11" s="10" t="s">
        <v>1788</v>
      </c>
      <c r="D11" s="11">
        <v>45177</v>
      </c>
      <c r="E11" s="12">
        <v>900000</v>
      </c>
      <c r="F11" s="10" t="s">
        <v>29</v>
      </c>
      <c r="G11" s="10" t="s">
        <v>23</v>
      </c>
      <c r="H11" s="12">
        <v>900000</v>
      </c>
      <c r="I11" s="12">
        <v>168240</v>
      </c>
      <c r="J11" s="13">
        <f t="shared" si="0"/>
        <v>18.693333333333335</v>
      </c>
      <c r="K11" s="12">
        <v>336479</v>
      </c>
      <c r="L11" s="12">
        <f>H11-0</f>
        <v>900000</v>
      </c>
      <c r="M11" s="12">
        <v>336479</v>
      </c>
      <c r="N11" s="12">
        <f t="shared" si="1"/>
        <v>180000</v>
      </c>
      <c r="O11" s="14">
        <v>1.6140000000000001</v>
      </c>
      <c r="P11" s="12">
        <f t="shared" si="2"/>
        <v>557620.81784386619</v>
      </c>
      <c r="Q11" s="15">
        <f t="shared" si="3"/>
        <v>12.801212530850922</v>
      </c>
      <c r="R11" s="15">
        <f t="shared" si="4"/>
        <v>4.7859324346313192</v>
      </c>
      <c r="S11" s="10" t="s">
        <v>24</v>
      </c>
    </row>
    <row r="12" spans="1:19" x14ac:dyDescent="0.25">
      <c r="A12" s="10" t="s">
        <v>1791</v>
      </c>
      <c r="B12" s="10" t="s">
        <v>1792</v>
      </c>
      <c r="C12" s="10" t="s">
        <v>1788</v>
      </c>
      <c r="D12" s="11">
        <v>45141</v>
      </c>
      <c r="E12" s="12">
        <v>815000</v>
      </c>
      <c r="F12" s="10" t="s">
        <v>29</v>
      </c>
      <c r="G12" s="10" t="s">
        <v>23</v>
      </c>
      <c r="H12" s="12">
        <v>815000</v>
      </c>
      <c r="I12" s="12">
        <v>175330</v>
      </c>
      <c r="J12" s="13">
        <f t="shared" si="0"/>
        <v>21.512883435582822</v>
      </c>
      <c r="K12" s="12">
        <v>350658</v>
      </c>
      <c r="L12" s="12">
        <f>H12-0</f>
        <v>815000</v>
      </c>
      <c r="M12" s="12">
        <v>350658</v>
      </c>
      <c r="N12" s="12">
        <f t="shared" si="1"/>
        <v>163000</v>
      </c>
      <c r="O12" s="14">
        <v>1.8</v>
      </c>
      <c r="P12" s="12">
        <f t="shared" si="2"/>
        <v>452777.77777777775</v>
      </c>
      <c r="Q12" s="15">
        <f t="shared" si="3"/>
        <v>10.394347515559636</v>
      </c>
      <c r="R12" s="15">
        <f t="shared" si="4"/>
        <v>4.4722222222222223</v>
      </c>
      <c r="S12" s="10" t="s">
        <v>24</v>
      </c>
    </row>
    <row r="13" spans="1:19" x14ac:dyDescent="0.25">
      <c r="A13" s="10" t="s">
        <v>1793</v>
      </c>
      <c r="B13" s="10" t="s">
        <v>1794</v>
      </c>
      <c r="C13" s="10" t="s">
        <v>1788</v>
      </c>
      <c r="D13" s="11">
        <v>45077</v>
      </c>
      <c r="E13" s="12">
        <v>1850000</v>
      </c>
      <c r="F13" s="10" t="s">
        <v>22</v>
      </c>
      <c r="G13" s="10" t="s">
        <v>23</v>
      </c>
      <c r="H13" s="12">
        <v>1850000</v>
      </c>
      <c r="I13" s="12">
        <v>976870</v>
      </c>
      <c r="J13" s="13">
        <f t="shared" si="0"/>
        <v>52.803783783783786</v>
      </c>
      <c r="K13" s="12">
        <v>1953743</v>
      </c>
      <c r="L13" s="12">
        <f>H13-1710656</f>
        <v>139344</v>
      </c>
      <c r="M13" s="12">
        <v>243087</v>
      </c>
      <c r="N13" s="12">
        <f t="shared" si="1"/>
        <v>370000</v>
      </c>
      <c r="O13" s="14">
        <v>0.77300000000000002</v>
      </c>
      <c r="P13" s="12">
        <f t="shared" si="2"/>
        <v>180263.90685640363</v>
      </c>
      <c r="Q13" s="15">
        <f t="shared" si="3"/>
        <v>4.1382898727365385</v>
      </c>
      <c r="R13" s="15">
        <f t="shared" si="4"/>
        <v>7.2192880231219636</v>
      </c>
      <c r="S13" s="10" t="s">
        <v>24</v>
      </c>
    </row>
    <row r="14" spans="1:19" x14ac:dyDescent="0.25">
      <c r="A14" s="10" t="s">
        <v>1795</v>
      </c>
      <c r="B14" s="10" t="s">
        <v>1796</v>
      </c>
      <c r="C14" s="10" t="s">
        <v>1788</v>
      </c>
      <c r="D14" s="11">
        <v>45308</v>
      </c>
      <c r="E14" s="12">
        <v>2698000</v>
      </c>
      <c r="F14" s="10" t="s">
        <v>22</v>
      </c>
      <c r="G14" s="10" t="s">
        <v>23</v>
      </c>
      <c r="H14" s="12">
        <v>2698000</v>
      </c>
      <c r="I14" s="12">
        <v>1006410</v>
      </c>
      <c r="J14" s="13">
        <f t="shared" si="0"/>
        <v>37.302075611564121</v>
      </c>
      <c r="K14" s="12">
        <v>2012812</v>
      </c>
      <c r="L14" s="12">
        <f>H14-1682126</f>
        <v>1015874</v>
      </c>
      <c r="M14" s="12">
        <v>330686</v>
      </c>
      <c r="N14" s="12">
        <f t="shared" si="1"/>
        <v>539600</v>
      </c>
      <c r="O14" s="14">
        <v>1.538</v>
      </c>
      <c r="P14" s="12">
        <f t="shared" si="2"/>
        <v>660516.25487646298</v>
      </c>
      <c r="Q14" s="15">
        <f t="shared" si="3"/>
        <v>15.163366732701171</v>
      </c>
      <c r="R14" s="15">
        <f t="shared" si="4"/>
        <v>4.9359596676064346</v>
      </c>
      <c r="S14" s="10" t="s">
        <v>24</v>
      </c>
    </row>
    <row r="15" spans="1:19" x14ac:dyDescent="0.25">
      <c r="A15" s="10" t="s">
        <v>1797</v>
      </c>
      <c r="B15" s="10" t="s">
        <v>1798</v>
      </c>
      <c r="C15" s="10" t="s">
        <v>1788</v>
      </c>
      <c r="D15" s="11">
        <v>45429</v>
      </c>
      <c r="E15" s="12">
        <v>1790000</v>
      </c>
      <c r="F15" s="10" t="s">
        <v>29</v>
      </c>
      <c r="G15" s="10" t="s">
        <v>23</v>
      </c>
      <c r="H15" s="12">
        <v>1790000</v>
      </c>
      <c r="I15" s="12">
        <v>789520</v>
      </c>
      <c r="J15" s="13">
        <f t="shared" si="0"/>
        <v>44.1072625698324</v>
      </c>
      <c r="K15" s="12">
        <v>1579041</v>
      </c>
      <c r="L15" s="12">
        <f>H15-1294491</f>
        <v>495509</v>
      </c>
      <c r="M15" s="12">
        <v>284550</v>
      </c>
      <c r="N15" s="12">
        <f t="shared" si="1"/>
        <v>358000</v>
      </c>
      <c r="O15" s="14">
        <v>1.3839999999999999</v>
      </c>
      <c r="P15" s="12">
        <f t="shared" si="2"/>
        <v>358026.73410404625</v>
      </c>
      <c r="Q15" s="15">
        <f t="shared" si="3"/>
        <v>8.2191628582196117</v>
      </c>
      <c r="R15" s="15">
        <f t="shared" si="4"/>
        <v>4.7199199031831727</v>
      </c>
      <c r="S15" s="10" t="s">
        <v>24</v>
      </c>
    </row>
    <row r="16" spans="1:19" ht="15.75" thickBot="1" x14ac:dyDescent="0.3">
      <c r="A16" s="16"/>
      <c r="B16" s="16"/>
      <c r="C16" s="16"/>
      <c r="D16" s="17"/>
      <c r="E16" s="18"/>
      <c r="F16" s="16"/>
      <c r="G16" s="16"/>
      <c r="H16" s="18"/>
      <c r="I16" s="18"/>
      <c r="J16" s="19"/>
      <c r="K16" s="18"/>
      <c r="L16" s="18">
        <f>AVERAGE(L10:L15)</f>
        <v>628695.5</v>
      </c>
      <c r="M16" s="18">
        <f>AVERAGE(M10:M15)</f>
        <v>314634.83333333331</v>
      </c>
      <c r="N16" s="18">
        <f>AVERAGE(N10:N15)</f>
        <v>344100</v>
      </c>
      <c r="O16" s="20"/>
      <c r="P16" s="18"/>
      <c r="Q16" s="21">
        <f>AVERAGE(Q10:Q15)</f>
        <v>9.3723747294469053</v>
      </c>
      <c r="R16" s="21">
        <f>AVERAGE(R10:R15)</f>
        <v>5.1301694789101786</v>
      </c>
      <c r="S16" s="16"/>
    </row>
    <row r="17" spans="1:19" ht="15.75" thickTop="1" x14ac:dyDescent="0.25">
      <c r="A17" s="10"/>
      <c r="B17" s="10"/>
      <c r="C17" s="10"/>
      <c r="D17" s="11"/>
      <c r="E17" s="12"/>
      <c r="F17" s="10"/>
      <c r="G17" s="10"/>
      <c r="H17" s="12"/>
      <c r="I17" s="12"/>
      <c r="J17" s="13"/>
      <c r="K17" s="12"/>
      <c r="L17" s="12"/>
      <c r="M17" s="12"/>
      <c r="N17" s="12"/>
      <c r="O17" s="14"/>
      <c r="P17" s="12"/>
      <c r="Q17" s="15"/>
      <c r="R17" s="15"/>
      <c r="S17" s="10"/>
    </row>
    <row r="18" spans="1:19" x14ac:dyDescent="0.25">
      <c r="A18" s="10"/>
      <c r="B18" s="10"/>
      <c r="C18" s="10"/>
      <c r="D18" s="11"/>
      <c r="E18" s="12"/>
      <c r="F18" s="10"/>
      <c r="G18" s="10"/>
      <c r="H18" s="12"/>
      <c r="I18" s="12"/>
      <c r="J18" s="13"/>
      <c r="K18" s="12"/>
      <c r="L18" s="12"/>
      <c r="M18" s="12"/>
      <c r="N18" s="12"/>
      <c r="O18" s="14"/>
      <c r="P18" s="12"/>
      <c r="Q18" s="15"/>
      <c r="R18" s="15"/>
      <c r="S18" s="10"/>
    </row>
    <row r="19" spans="1:19" x14ac:dyDescent="0.25">
      <c r="A19" s="10" t="s">
        <v>1799</v>
      </c>
      <c r="B19" s="10" t="s">
        <v>1800</v>
      </c>
      <c r="C19" s="10" t="s">
        <v>1801</v>
      </c>
      <c r="D19" s="11">
        <v>45296</v>
      </c>
      <c r="E19" s="12">
        <v>920000</v>
      </c>
      <c r="F19" s="10" t="s">
        <v>22</v>
      </c>
      <c r="G19" s="10" t="s">
        <v>23</v>
      </c>
      <c r="H19" s="12">
        <v>920000</v>
      </c>
      <c r="I19" s="12">
        <v>464440</v>
      </c>
      <c r="J19" s="13">
        <f>I19/H19*100</f>
        <v>50.482608695652175</v>
      </c>
      <c r="K19" s="12">
        <v>928875</v>
      </c>
      <c r="L19" s="12">
        <f>H19-651565</f>
        <v>268435</v>
      </c>
      <c r="M19" s="12">
        <v>277310</v>
      </c>
      <c r="N19" s="12">
        <f>E19*0.2</f>
        <v>184000</v>
      </c>
      <c r="O19" s="14">
        <v>1.5489999999999999</v>
      </c>
      <c r="P19" s="12">
        <f>L19/O19</f>
        <v>173295.67462879277</v>
      </c>
      <c r="Q19" s="15">
        <f>L19/O19/43560</f>
        <v>3.9783212724699899</v>
      </c>
      <c r="R19" s="15">
        <f>M19/O19/43560</f>
        <v>4.1098525604658596</v>
      </c>
      <c r="S19" s="10" t="s">
        <v>24</v>
      </c>
    </row>
    <row r="20" spans="1:19" x14ac:dyDescent="0.25">
      <c r="A20" s="10" t="s">
        <v>1802</v>
      </c>
      <c r="B20" s="10" t="s">
        <v>1803</v>
      </c>
      <c r="C20" s="10" t="s">
        <v>1801</v>
      </c>
      <c r="D20" s="11">
        <v>45369</v>
      </c>
      <c r="E20" s="12">
        <v>985000</v>
      </c>
      <c r="F20" s="10" t="s">
        <v>29</v>
      </c>
      <c r="G20" s="10" t="s">
        <v>23</v>
      </c>
      <c r="H20" s="12">
        <v>985000</v>
      </c>
      <c r="I20" s="12">
        <v>412300</v>
      </c>
      <c r="J20" s="13">
        <f>I20/H20*100</f>
        <v>41.857868020304565</v>
      </c>
      <c r="K20" s="12">
        <v>824600</v>
      </c>
      <c r="L20" s="12">
        <f>H20-581378</f>
        <v>403622</v>
      </c>
      <c r="M20" s="12">
        <v>243222</v>
      </c>
      <c r="N20" s="12">
        <f>E20*0.2</f>
        <v>197000</v>
      </c>
      <c r="O20" s="14">
        <v>1.1020000000000001</v>
      </c>
      <c r="P20" s="12">
        <f>L20/O20</f>
        <v>366263.1578947368</v>
      </c>
      <c r="Q20" s="15">
        <f>L20/O20/43560</f>
        <v>8.4082451307331674</v>
      </c>
      <c r="R20" s="15">
        <f>M20/O20/43560</f>
        <v>5.0667956582822109</v>
      </c>
      <c r="S20" s="10" t="s">
        <v>24</v>
      </c>
    </row>
    <row r="21" spans="1:19" x14ac:dyDescent="0.25">
      <c r="A21" s="10" t="s">
        <v>1804</v>
      </c>
      <c r="B21" s="10" t="s">
        <v>1805</v>
      </c>
      <c r="C21" s="10" t="s">
        <v>1801</v>
      </c>
      <c r="D21" s="11">
        <v>45369</v>
      </c>
      <c r="E21" s="12">
        <v>985000</v>
      </c>
      <c r="F21" s="10" t="s">
        <v>29</v>
      </c>
      <c r="G21" s="10" t="s">
        <v>23</v>
      </c>
      <c r="H21" s="12">
        <v>985000</v>
      </c>
      <c r="I21" s="12">
        <v>458380</v>
      </c>
      <c r="J21" s="13">
        <f>I21/H21*100</f>
        <v>46.536040609137061</v>
      </c>
      <c r="K21" s="12">
        <v>916755</v>
      </c>
      <c r="L21" s="12">
        <f>H21-604386</f>
        <v>380614</v>
      </c>
      <c r="M21" s="12">
        <v>312369</v>
      </c>
      <c r="N21" s="12">
        <f>E21*0.2</f>
        <v>197000</v>
      </c>
      <c r="O21" s="14">
        <v>1.6140000000000001</v>
      </c>
      <c r="P21" s="12">
        <f>L21/O21</f>
        <v>235820.32218091696</v>
      </c>
      <c r="Q21" s="15">
        <f>L21/O21/43560</f>
        <v>5.4136896735747699</v>
      </c>
      <c r="R21" s="15">
        <f>M21/O21/43560</f>
        <v>4.4430021744993011</v>
      </c>
      <c r="S21" s="10" t="s">
        <v>504</v>
      </c>
    </row>
    <row r="22" spans="1:19" x14ac:dyDescent="0.25">
      <c r="A22" s="10" t="s">
        <v>1806</v>
      </c>
      <c r="B22" s="10" t="s">
        <v>1807</v>
      </c>
      <c r="C22" s="10" t="s">
        <v>1801</v>
      </c>
      <c r="D22" s="11">
        <v>45436</v>
      </c>
      <c r="E22" s="12">
        <v>871500</v>
      </c>
      <c r="F22" s="10" t="s">
        <v>29</v>
      </c>
      <c r="G22" s="10" t="s">
        <v>23</v>
      </c>
      <c r="H22" s="12">
        <v>871500</v>
      </c>
      <c r="I22" s="12">
        <v>393330</v>
      </c>
      <c r="J22" s="13">
        <f>I22/H22*100</f>
        <v>45.132530120481931</v>
      </c>
      <c r="K22" s="12">
        <v>786655</v>
      </c>
      <c r="L22" s="12">
        <f>H22-485917</f>
        <v>385583</v>
      </c>
      <c r="M22" s="12">
        <v>300738</v>
      </c>
      <c r="N22" s="12">
        <f>E22*0.2</f>
        <v>174300</v>
      </c>
      <c r="O22" s="14">
        <v>1.452</v>
      </c>
      <c r="P22" s="12">
        <f>L22/O22</f>
        <v>265553.03030303033</v>
      </c>
      <c r="Q22" s="15">
        <f>L22/O22/43560</f>
        <v>6.0962587305562517</v>
      </c>
      <c r="R22" s="15">
        <f>M22/O22/43560</f>
        <v>4.7548171421199221</v>
      </c>
      <c r="S22" s="10" t="s">
        <v>24</v>
      </c>
    </row>
    <row r="23" spans="1:19" x14ac:dyDescent="0.25">
      <c r="A23" s="10" t="s">
        <v>1808</v>
      </c>
      <c r="B23" s="10" t="s">
        <v>1809</v>
      </c>
      <c r="C23" s="10" t="s">
        <v>1801</v>
      </c>
      <c r="D23" s="11">
        <v>45182</v>
      </c>
      <c r="E23" s="12">
        <v>1600000</v>
      </c>
      <c r="F23" s="10" t="s">
        <v>22</v>
      </c>
      <c r="G23" s="10" t="s">
        <v>23</v>
      </c>
      <c r="H23" s="12">
        <v>1600000</v>
      </c>
      <c r="I23" s="12">
        <v>698860</v>
      </c>
      <c r="J23" s="13">
        <f>I23/H23*100</f>
        <v>43.678750000000001</v>
      </c>
      <c r="K23" s="12">
        <v>1397710</v>
      </c>
      <c r="L23" s="12">
        <f>H23-1108384</f>
        <v>491616</v>
      </c>
      <c r="M23" s="12">
        <v>289326</v>
      </c>
      <c r="N23" s="12">
        <f>E23*0.2</f>
        <v>320000</v>
      </c>
      <c r="O23" s="14">
        <v>1.321</v>
      </c>
      <c r="P23" s="12">
        <f>L23/O23</f>
        <v>372154.42846328538</v>
      </c>
      <c r="Q23" s="15">
        <f>L23/O23/43560</f>
        <v>8.5434900932801963</v>
      </c>
      <c r="R23" s="15">
        <f>M23/O23/43560</f>
        <v>5.0280174256500727</v>
      </c>
      <c r="S23" s="10" t="s">
        <v>24</v>
      </c>
    </row>
    <row r="24" spans="1:19" ht="15.75" thickBot="1" x14ac:dyDescent="0.3">
      <c r="A24" s="16"/>
      <c r="B24" s="16"/>
      <c r="C24" s="16"/>
      <c r="D24" s="17"/>
      <c r="E24" s="18"/>
      <c r="F24" s="16"/>
      <c r="G24" s="16"/>
      <c r="H24" s="18"/>
      <c r="I24" s="18"/>
      <c r="J24" s="19"/>
      <c r="K24" s="18"/>
      <c r="L24" s="18">
        <f>AVERAGE(L19:L23)</f>
        <v>385974</v>
      </c>
      <c r="M24" s="18">
        <f>AVERAGE(M19:M23)</f>
        <v>284593</v>
      </c>
      <c r="N24" s="18">
        <f>AVERAGE(N19:N23)</f>
        <v>214460</v>
      </c>
      <c r="O24" s="20"/>
      <c r="P24" s="18"/>
      <c r="Q24" s="21">
        <f>AVERAGE(Q19:Q23)</f>
        <v>6.4880009801228749</v>
      </c>
      <c r="R24" s="21">
        <f>AVERAGE(R19:R23)</f>
        <v>4.6804969922034738</v>
      </c>
      <c r="S24" s="16"/>
    </row>
    <row r="25" spans="1:19" ht="15.75" thickTop="1" x14ac:dyDescent="0.25">
      <c r="A25" s="10"/>
      <c r="B25" s="10"/>
      <c r="C25" s="10"/>
      <c r="D25" s="11"/>
      <c r="E25" s="12"/>
      <c r="F25" s="10"/>
      <c r="G25" s="10"/>
      <c r="H25" s="12"/>
      <c r="I25" s="12"/>
      <c r="J25" s="13"/>
      <c r="K25" s="12"/>
      <c r="L25" s="12"/>
      <c r="M25" s="12"/>
      <c r="N25" s="12"/>
      <c r="O25" s="14"/>
      <c r="P25" s="12"/>
      <c r="Q25" s="15"/>
      <c r="R25" s="15"/>
      <c r="S25" s="10"/>
    </row>
    <row r="26" spans="1:19" x14ac:dyDescent="0.25">
      <c r="A26" s="10"/>
      <c r="B26" s="10"/>
      <c r="C26" s="10"/>
      <c r="D26" s="11"/>
      <c r="E26" s="12"/>
      <c r="F26" s="10"/>
      <c r="G26" s="10"/>
      <c r="H26" s="12"/>
      <c r="I26" s="12"/>
      <c r="J26" s="13"/>
      <c r="K26" s="12"/>
      <c r="L26" s="12"/>
      <c r="M26" s="12"/>
      <c r="N26" s="12"/>
      <c r="O26" s="14"/>
      <c r="P26" s="12"/>
      <c r="Q26" s="15"/>
      <c r="R26" s="15"/>
      <c r="S26" s="10"/>
    </row>
    <row r="27" spans="1:19" x14ac:dyDescent="0.25">
      <c r="A27" s="10" t="s">
        <v>1810</v>
      </c>
      <c r="B27" s="10" t="s">
        <v>1811</v>
      </c>
      <c r="C27" s="10" t="s">
        <v>1812</v>
      </c>
      <c r="D27" s="11">
        <v>45239</v>
      </c>
      <c r="E27" s="12">
        <v>1070000</v>
      </c>
      <c r="F27" s="10" t="s">
        <v>22</v>
      </c>
      <c r="G27" s="10" t="s">
        <v>23</v>
      </c>
      <c r="H27" s="12">
        <v>1070000</v>
      </c>
      <c r="I27" s="12">
        <v>390740</v>
      </c>
      <c r="J27" s="13">
        <f>I27/H27*100</f>
        <v>36.5177570093458</v>
      </c>
      <c r="K27" s="12">
        <v>781477</v>
      </c>
      <c r="L27" s="12">
        <f>H27-591338</f>
        <v>478662</v>
      </c>
      <c r="M27" s="12">
        <v>190139</v>
      </c>
      <c r="N27" s="12">
        <f>E27*0.2</f>
        <v>214000</v>
      </c>
      <c r="O27" s="14">
        <v>0.67</v>
      </c>
      <c r="P27" s="12">
        <f>L27/O27</f>
        <v>714420.89552238805</v>
      </c>
      <c r="Q27" s="15">
        <f>L27/O27/43560</f>
        <v>16.400847004646192</v>
      </c>
      <c r="R27" s="15">
        <f>M27/O27/43560</f>
        <v>6.5149116675575289</v>
      </c>
      <c r="S27" s="10" t="s">
        <v>24</v>
      </c>
    </row>
    <row r="28" spans="1:19" x14ac:dyDescent="0.25">
      <c r="A28" s="10" t="s">
        <v>1810</v>
      </c>
      <c r="B28" s="10" t="s">
        <v>1811</v>
      </c>
      <c r="C28" s="10" t="s">
        <v>1812</v>
      </c>
      <c r="D28" s="11">
        <v>45531</v>
      </c>
      <c r="E28" s="12">
        <v>1130000</v>
      </c>
      <c r="F28" s="10" t="s">
        <v>29</v>
      </c>
      <c r="G28" s="10" t="s">
        <v>23</v>
      </c>
      <c r="H28" s="12">
        <v>1130000</v>
      </c>
      <c r="I28" s="12">
        <v>390740</v>
      </c>
      <c r="J28" s="13">
        <f>I28/H28*100</f>
        <v>34.578761061946899</v>
      </c>
      <c r="K28" s="12">
        <v>781477</v>
      </c>
      <c r="L28" s="12">
        <f>H28-591338</f>
        <v>538662</v>
      </c>
      <c r="M28" s="12">
        <v>190139</v>
      </c>
      <c r="N28" s="12">
        <f>E28*0.2</f>
        <v>226000</v>
      </c>
      <c r="O28" s="14">
        <v>0.67</v>
      </c>
      <c r="P28" s="12">
        <f>L28/O28</f>
        <v>803973.13432835811</v>
      </c>
      <c r="Q28" s="15">
        <f>L28/O28/43560</f>
        <v>18.456683524526127</v>
      </c>
      <c r="R28" s="15">
        <f>M28/O28/43560</f>
        <v>6.5149116675575289</v>
      </c>
      <c r="S28" s="10" t="s">
        <v>24</v>
      </c>
    </row>
    <row r="29" spans="1:19" x14ac:dyDescent="0.25">
      <c r="A29" s="10" t="s">
        <v>1813</v>
      </c>
      <c r="B29" s="10" t="s">
        <v>1814</v>
      </c>
      <c r="C29" s="10" t="s">
        <v>1812</v>
      </c>
      <c r="D29" s="11">
        <v>45616</v>
      </c>
      <c r="E29" s="12">
        <v>600000</v>
      </c>
      <c r="F29" s="10" t="s">
        <v>22</v>
      </c>
      <c r="G29" s="10" t="s">
        <v>23</v>
      </c>
      <c r="H29" s="12">
        <v>600000</v>
      </c>
      <c r="I29" s="12">
        <v>289740</v>
      </c>
      <c r="J29" s="13">
        <f>I29/H29*100</f>
        <v>48.29</v>
      </c>
      <c r="K29" s="12">
        <v>579482</v>
      </c>
      <c r="L29" s="12">
        <f>H29-308365</f>
        <v>291635</v>
      </c>
      <c r="M29" s="12">
        <v>271117</v>
      </c>
      <c r="N29" s="12">
        <f>E29*0.2</f>
        <v>120000</v>
      </c>
      <c r="O29" s="14">
        <v>1.2370000000000001</v>
      </c>
      <c r="P29" s="12">
        <f>L29/O29</f>
        <v>235759.90299110749</v>
      </c>
      <c r="Q29" s="15">
        <f>L29/O29/43560</f>
        <v>5.4123026398325873</v>
      </c>
      <c r="R29" s="15">
        <f>M29/O29/43560</f>
        <v>5.0315197243248972</v>
      </c>
      <c r="S29" s="10" t="s">
        <v>24</v>
      </c>
    </row>
    <row r="30" spans="1:19" ht="15.75" thickBot="1" x14ac:dyDescent="0.3">
      <c r="A30" s="16"/>
      <c r="B30" s="16"/>
      <c r="C30" s="16"/>
      <c r="D30" s="17"/>
      <c r="E30" s="18"/>
      <c r="F30" s="16"/>
      <c r="G30" s="16"/>
      <c r="H30" s="18"/>
      <c r="I30" s="18"/>
      <c r="J30" s="19"/>
      <c r="K30" s="18"/>
      <c r="L30" s="18">
        <f>AVERAGE(L27:L29)</f>
        <v>436319.66666666669</v>
      </c>
      <c r="M30" s="18">
        <f>AVERAGE(M27:M29)</f>
        <v>217131.66666666666</v>
      </c>
      <c r="N30" s="18">
        <f>AVERAGE(N27:N29)</f>
        <v>186666.66666666666</v>
      </c>
      <c r="O30" s="20"/>
      <c r="P30" s="18"/>
      <c r="Q30" s="21">
        <f>AVERAGE(Q27:Q29)</f>
        <v>13.423277723001638</v>
      </c>
      <c r="R30" s="21">
        <f>AVERAGE(R27:R29)</f>
        <v>6.0204476864799856</v>
      </c>
      <c r="S30" s="16"/>
    </row>
    <row r="31" spans="1:19" ht="15.75" thickTop="1" x14ac:dyDescent="0.25">
      <c r="A31" s="10"/>
      <c r="B31" s="10"/>
      <c r="C31" s="10"/>
      <c r="D31" s="11"/>
      <c r="E31" s="12"/>
      <c r="F31" s="10"/>
      <c r="G31" s="10"/>
      <c r="H31" s="12"/>
      <c r="I31" s="12"/>
      <c r="J31" s="13"/>
      <c r="K31" s="12"/>
      <c r="L31" s="12"/>
      <c r="M31" s="12"/>
      <c r="N31" s="12"/>
      <c r="O31" s="14"/>
      <c r="P31" s="12"/>
      <c r="Q31" s="15"/>
      <c r="R31" s="15"/>
      <c r="S31" s="10"/>
    </row>
    <row r="32" spans="1:19" x14ac:dyDescent="0.25">
      <c r="A32" s="10"/>
      <c r="B32" s="10"/>
      <c r="C32" s="10"/>
      <c r="D32" s="11"/>
      <c r="E32" s="12"/>
      <c r="F32" s="10"/>
      <c r="G32" s="10"/>
      <c r="H32" s="12"/>
      <c r="I32" s="12"/>
      <c r="J32" s="13"/>
      <c r="K32" s="12"/>
      <c r="L32" s="12"/>
      <c r="M32" s="12"/>
      <c r="N32" s="12"/>
      <c r="O32" s="14"/>
      <c r="P32" s="12"/>
      <c r="Q32" s="15"/>
      <c r="R32" s="15"/>
      <c r="S32" s="10"/>
    </row>
    <row r="33" spans="1:19" x14ac:dyDescent="0.25">
      <c r="A33" s="10" t="s">
        <v>1815</v>
      </c>
      <c r="B33" s="10" t="s">
        <v>1816</v>
      </c>
      <c r="C33" s="10" t="s">
        <v>1817</v>
      </c>
      <c r="D33" s="11">
        <v>45128</v>
      </c>
      <c r="E33" s="12">
        <v>775000</v>
      </c>
      <c r="F33" s="10" t="s">
        <v>29</v>
      </c>
      <c r="G33" s="10" t="s">
        <v>23</v>
      </c>
      <c r="H33" s="12">
        <v>775000</v>
      </c>
      <c r="I33" s="12">
        <v>312760</v>
      </c>
      <c r="J33" s="13">
        <f>I33/H33*100</f>
        <v>40.356129032258067</v>
      </c>
      <c r="K33" s="12">
        <v>625521</v>
      </c>
      <c r="L33" s="12">
        <f>H33-478741</f>
        <v>296259</v>
      </c>
      <c r="M33" s="12">
        <v>146780</v>
      </c>
      <c r="N33" s="12">
        <f>E33*0.2</f>
        <v>155000</v>
      </c>
      <c r="O33" s="14">
        <v>0.20799999999999999</v>
      </c>
      <c r="P33" s="12">
        <f>L33/O33</f>
        <v>1424322.1153846155</v>
      </c>
      <c r="Q33" s="15">
        <f>L33/O33/43560</f>
        <v>32.697936533163805</v>
      </c>
      <c r="R33" s="15">
        <f>M33/O33/43560</f>
        <v>16.200024722751998</v>
      </c>
      <c r="S33" s="10" t="s">
        <v>97</v>
      </c>
    </row>
    <row r="34" spans="1:19" x14ac:dyDescent="0.25">
      <c r="A34" s="10" t="s">
        <v>1818</v>
      </c>
      <c r="B34" s="10" t="s">
        <v>1819</v>
      </c>
      <c r="C34" s="10" t="s">
        <v>1817</v>
      </c>
      <c r="D34" s="11">
        <v>45341</v>
      </c>
      <c r="E34" s="12">
        <v>620000</v>
      </c>
      <c r="F34" s="10" t="s">
        <v>29</v>
      </c>
      <c r="G34" s="10" t="s">
        <v>23</v>
      </c>
      <c r="H34" s="12">
        <v>620000</v>
      </c>
      <c r="I34" s="12">
        <v>324170</v>
      </c>
      <c r="J34" s="13">
        <f>I34/H34*100</f>
        <v>52.285483870967738</v>
      </c>
      <c r="K34" s="12">
        <v>648335</v>
      </c>
      <c r="L34" s="12">
        <f>H34-491676</f>
        <v>128324</v>
      </c>
      <c r="M34" s="12">
        <v>156659</v>
      </c>
      <c r="N34" s="12">
        <f>E34*0.2</f>
        <v>124000</v>
      </c>
      <c r="O34" s="14">
        <v>0.222</v>
      </c>
      <c r="P34" s="12">
        <f>L34/O34</f>
        <v>578036.03603603598</v>
      </c>
      <c r="Q34" s="15">
        <f>L34/O34/43560</f>
        <v>13.269881451699632</v>
      </c>
      <c r="R34" s="15">
        <f>M34/O34/43560</f>
        <v>16.199980972708243</v>
      </c>
      <c r="S34" s="10" t="s">
        <v>97</v>
      </c>
    </row>
    <row r="35" spans="1:19" x14ac:dyDescent="0.25">
      <c r="A35" s="10" t="s">
        <v>1820</v>
      </c>
      <c r="B35" s="10" t="s">
        <v>1821</v>
      </c>
      <c r="C35" s="10" t="s">
        <v>1817</v>
      </c>
      <c r="D35" s="11">
        <v>45544</v>
      </c>
      <c r="E35" s="12">
        <v>1100000</v>
      </c>
      <c r="F35" s="10" t="s">
        <v>22</v>
      </c>
      <c r="G35" s="10" t="s">
        <v>23</v>
      </c>
      <c r="H35" s="12">
        <v>1100000</v>
      </c>
      <c r="I35" s="12">
        <v>570590</v>
      </c>
      <c r="J35" s="13">
        <f>I35/H35*100</f>
        <v>51.871818181818185</v>
      </c>
      <c r="K35" s="12">
        <v>1141181</v>
      </c>
      <c r="L35" s="12">
        <f>H35-785829</f>
        <v>314171</v>
      </c>
      <c r="M35" s="12">
        <v>355352</v>
      </c>
      <c r="N35" s="12">
        <f>E35*0.2</f>
        <v>220000</v>
      </c>
      <c r="O35" s="14">
        <v>0.52200000000000002</v>
      </c>
      <c r="P35" s="12">
        <f>L35/O35</f>
        <v>601860.15325670491</v>
      </c>
      <c r="Q35" s="15">
        <f>L35/O35/43560</f>
        <v>13.816807926003326</v>
      </c>
      <c r="R35" s="15">
        <f>M35/O35/43560</f>
        <v>15.627891594453766</v>
      </c>
      <c r="S35" s="10" t="s">
        <v>97</v>
      </c>
    </row>
    <row r="36" spans="1:19" ht="15.75" thickBot="1" x14ac:dyDescent="0.3">
      <c r="A36" s="16"/>
      <c r="B36" s="16"/>
      <c r="C36" s="16"/>
      <c r="D36" s="17"/>
      <c r="E36" s="18"/>
      <c r="F36" s="16"/>
      <c r="G36" s="16"/>
      <c r="H36" s="18"/>
      <c r="I36" s="18"/>
      <c r="J36" s="19"/>
      <c r="K36" s="18"/>
      <c r="L36" s="18">
        <f>AVERAGE(L33:L35)</f>
        <v>246251.33333333334</v>
      </c>
      <c r="M36" s="18">
        <f>AVERAGE(M33:M35)</f>
        <v>219597</v>
      </c>
      <c r="N36" s="18">
        <f>AVERAGE(N33:N35)</f>
        <v>166333.33333333334</v>
      </c>
      <c r="O36" s="20"/>
      <c r="P36" s="18"/>
      <c r="Q36" s="21">
        <f>AVERAGE(Q33:Q35)</f>
        <v>19.928208636955588</v>
      </c>
      <c r="R36" s="21">
        <f>AVERAGE(R33:R35)</f>
        <v>16.009299096637999</v>
      </c>
      <c r="S36" s="16"/>
    </row>
    <row r="37" spans="1:19" ht="15.75" thickTop="1" x14ac:dyDescent="0.25">
      <c r="A37" s="10"/>
      <c r="B37" s="10"/>
      <c r="C37" s="10"/>
      <c r="D37" s="11"/>
      <c r="E37" s="12"/>
      <c r="F37" s="10"/>
      <c r="G37" s="10"/>
      <c r="H37" s="12"/>
      <c r="I37" s="12"/>
      <c r="J37" s="13"/>
      <c r="K37" s="12"/>
      <c r="L37" s="12"/>
      <c r="M37" s="12"/>
      <c r="N37" s="12"/>
      <c r="O37" s="14"/>
      <c r="P37" s="12"/>
      <c r="Q37" s="15"/>
      <c r="R37" s="15"/>
      <c r="S37" s="10"/>
    </row>
    <row r="38" spans="1:19" x14ac:dyDescent="0.25">
      <c r="A38" s="10"/>
      <c r="B38" s="10"/>
      <c r="C38" s="10"/>
      <c r="D38" s="11"/>
      <c r="E38" s="12"/>
      <c r="F38" s="10"/>
      <c r="G38" s="10"/>
      <c r="H38" s="12"/>
      <c r="I38" s="12"/>
      <c r="J38" s="13"/>
      <c r="K38" s="12"/>
      <c r="L38" s="12"/>
      <c r="M38" s="12"/>
      <c r="N38" s="12"/>
      <c r="O38" s="14"/>
      <c r="P38" s="12"/>
      <c r="Q38" s="15"/>
      <c r="R38" s="15"/>
      <c r="S38" s="10"/>
    </row>
    <row r="39" spans="1:19" x14ac:dyDescent="0.25">
      <c r="A39" s="10" t="s">
        <v>1822</v>
      </c>
      <c r="B39" s="10" t="s">
        <v>1823</v>
      </c>
      <c r="C39" s="10" t="s">
        <v>1824</v>
      </c>
      <c r="D39" s="11">
        <v>45443</v>
      </c>
      <c r="E39" s="12">
        <v>305000</v>
      </c>
      <c r="F39" s="10" t="s">
        <v>22</v>
      </c>
      <c r="G39" s="10" t="s">
        <v>23</v>
      </c>
      <c r="H39" s="12">
        <v>305000</v>
      </c>
      <c r="I39" s="12">
        <v>138110</v>
      </c>
      <c r="J39" s="13">
        <f>I39/H39*100</f>
        <v>45.281967213114754</v>
      </c>
      <c r="K39" s="12">
        <v>276212</v>
      </c>
      <c r="L39" s="12">
        <f>H39-211212</f>
        <v>93788</v>
      </c>
      <c r="M39" s="12">
        <v>65000</v>
      </c>
      <c r="N39" s="12">
        <f>E39*0.2</f>
        <v>61000</v>
      </c>
      <c r="O39" s="14">
        <v>1</v>
      </c>
      <c r="P39" s="12">
        <f>L39/O39</f>
        <v>93788</v>
      </c>
      <c r="Q39" s="15">
        <f>L39/O39/43560</f>
        <v>2.1530762167125803</v>
      </c>
      <c r="R39" s="15">
        <f>M39/O39/43560</f>
        <v>1.4921946740128558</v>
      </c>
      <c r="S39" s="10" t="s">
        <v>97</v>
      </c>
    </row>
    <row r="40" spans="1:19" x14ac:dyDescent="0.25">
      <c r="A40" s="10" t="s">
        <v>1825</v>
      </c>
      <c r="B40" s="10" t="s">
        <v>1826</v>
      </c>
      <c r="C40" s="10" t="s">
        <v>1824</v>
      </c>
      <c r="D40" s="11">
        <v>45436</v>
      </c>
      <c r="E40" s="12">
        <v>324000</v>
      </c>
      <c r="F40" s="10" t="s">
        <v>29</v>
      </c>
      <c r="G40" s="10" t="s">
        <v>23</v>
      </c>
      <c r="H40" s="12">
        <v>315000</v>
      </c>
      <c r="I40" s="12">
        <v>125000</v>
      </c>
      <c r="J40" s="13">
        <f>I40/H40*100</f>
        <v>39.682539682539684</v>
      </c>
      <c r="K40" s="12">
        <v>250001</v>
      </c>
      <c r="L40" s="12">
        <f>H40-193001</f>
        <v>121999</v>
      </c>
      <c r="M40" s="12">
        <v>57000</v>
      </c>
      <c r="N40" s="12">
        <f>E40*0.2</f>
        <v>64800</v>
      </c>
      <c r="O40" s="14">
        <v>1</v>
      </c>
      <c r="P40" s="12">
        <f>L40/O40</f>
        <v>121999</v>
      </c>
      <c r="Q40" s="15">
        <f>L40/O40/43560</f>
        <v>2.8007116620752983</v>
      </c>
      <c r="R40" s="15">
        <f>M40/O40/43560</f>
        <v>1.3085399449035813</v>
      </c>
      <c r="S40" s="10" t="s">
        <v>97</v>
      </c>
    </row>
    <row r="41" spans="1:19" x14ac:dyDescent="0.25">
      <c r="A41" s="10" t="s">
        <v>1827</v>
      </c>
      <c r="B41" s="10" t="s">
        <v>1828</v>
      </c>
      <c r="C41" s="10" t="s">
        <v>1824</v>
      </c>
      <c r="D41" s="11">
        <v>45148</v>
      </c>
      <c r="E41" s="12">
        <v>245000</v>
      </c>
      <c r="F41" s="10" t="s">
        <v>22</v>
      </c>
      <c r="G41" s="10" t="s">
        <v>23</v>
      </c>
      <c r="H41" s="12">
        <v>245000</v>
      </c>
      <c r="I41" s="12">
        <v>108020</v>
      </c>
      <c r="J41" s="13">
        <f>I41/H41*100</f>
        <v>44.089795918367344</v>
      </c>
      <c r="K41" s="12">
        <v>216031</v>
      </c>
      <c r="L41" s="12">
        <f>H41-159031</f>
        <v>85969</v>
      </c>
      <c r="M41" s="12">
        <v>57000</v>
      </c>
      <c r="N41" s="12">
        <f>E41*0.2</f>
        <v>49000</v>
      </c>
      <c r="O41" s="14">
        <v>1</v>
      </c>
      <c r="P41" s="12">
        <f>L41/O41</f>
        <v>85969</v>
      </c>
      <c r="Q41" s="15">
        <f>L41/O41/43560</f>
        <v>1.9735766758494031</v>
      </c>
      <c r="R41" s="15">
        <f>M41/O41/43560</f>
        <v>1.3085399449035813</v>
      </c>
      <c r="S41" s="10" t="s">
        <v>97</v>
      </c>
    </row>
    <row r="42" spans="1:19" x14ac:dyDescent="0.25">
      <c r="A42" s="10" t="s">
        <v>1829</v>
      </c>
      <c r="B42" s="10" t="s">
        <v>1830</v>
      </c>
      <c r="C42" s="10" t="s">
        <v>1824</v>
      </c>
      <c r="D42" s="11">
        <v>45429</v>
      </c>
      <c r="E42" s="12">
        <v>360000</v>
      </c>
      <c r="F42" s="10" t="s">
        <v>22</v>
      </c>
      <c r="G42" s="10" t="s">
        <v>23</v>
      </c>
      <c r="H42" s="12">
        <v>360000</v>
      </c>
      <c r="I42" s="12">
        <v>167660</v>
      </c>
      <c r="J42" s="13">
        <f>I42/H42*100</f>
        <v>46.572222222222223</v>
      </c>
      <c r="K42" s="12">
        <v>335328</v>
      </c>
      <c r="L42" s="12">
        <f>H42-265328</f>
        <v>94672</v>
      </c>
      <c r="M42" s="12">
        <v>70000</v>
      </c>
      <c r="N42" s="12">
        <f>E42*0.2</f>
        <v>72000</v>
      </c>
      <c r="O42" s="14">
        <v>1</v>
      </c>
      <c r="P42" s="12">
        <f>L42/O42</f>
        <v>94672</v>
      </c>
      <c r="Q42" s="15">
        <f>L42/O42/43560</f>
        <v>2.1733700642791551</v>
      </c>
      <c r="R42" s="15">
        <f>M42/O42/43560</f>
        <v>1.6069788797061524</v>
      </c>
      <c r="S42" s="10" t="s">
        <v>97</v>
      </c>
    </row>
    <row r="43" spans="1:19" ht="15.75" thickBot="1" x14ac:dyDescent="0.3">
      <c r="A43" s="22"/>
      <c r="B43" s="22"/>
      <c r="C43" s="22"/>
      <c r="D43" s="23"/>
      <c r="E43" s="24"/>
      <c r="F43" s="22"/>
      <c r="G43" s="22"/>
      <c r="H43" s="24"/>
      <c r="I43" s="24"/>
      <c r="J43" s="25"/>
      <c r="K43" s="24"/>
      <c r="L43" s="18">
        <f>AVERAGE(L39:L42)</f>
        <v>99107</v>
      </c>
      <c r="M43" s="18">
        <f>AVERAGE(M39:M42)</f>
        <v>62250</v>
      </c>
      <c r="N43" s="18">
        <f>AVERAGE(N39:N42)</f>
        <v>61700</v>
      </c>
      <c r="O43" s="20"/>
      <c r="P43" s="18"/>
      <c r="Q43" s="21">
        <f>AVERAGE(Q39:Q42)</f>
        <v>2.2751836547291089</v>
      </c>
      <c r="R43" s="21">
        <f>AVERAGE(R39:R42)</f>
        <v>1.4290633608815426</v>
      </c>
      <c r="S43" s="22"/>
    </row>
    <row r="44" spans="1:19" ht="15.75" thickTop="1" x14ac:dyDescent="0.25">
      <c r="A44" s="10"/>
      <c r="B44" s="10"/>
      <c r="C44" s="10"/>
      <c r="D44" s="11"/>
      <c r="E44" s="12"/>
      <c r="F44" s="10"/>
      <c r="G44" s="10"/>
      <c r="H44" s="12"/>
      <c r="I44" s="12"/>
      <c r="J44" s="13"/>
      <c r="K44" s="12"/>
      <c r="L44" s="12"/>
      <c r="M44" s="12"/>
      <c r="N44" s="12"/>
      <c r="O44" s="14"/>
      <c r="P44" s="12"/>
      <c r="Q44" s="15"/>
      <c r="R44" s="15"/>
      <c r="S44" s="10"/>
    </row>
    <row r="45" spans="1:19" x14ac:dyDescent="0.25">
      <c r="A45" s="10"/>
      <c r="B45" s="10"/>
      <c r="C45" s="10"/>
      <c r="D45" s="11"/>
      <c r="E45" s="12"/>
      <c r="F45" s="10"/>
      <c r="G45" s="10"/>
      <c r="H45" s="12"/>
      <c r="I45" s="12"/>
      <c r="J45" s="13"/>
      <c r="K45" s="12"/>
      <c r="L45" s="12"/>
      <c r="M45" s="12"/>
      <c r="N45" s="12"/>
      <c r="O45" s="14"/>
      <c r="P45" s="12"/>
      <c r="Q45" s="15"/>
      <c r="R45" s="15"/>
      <c r="S45" s="10"/>
    </row>
    <row r="46" spans="1:19" x14ac:dyDescent="0.25">
      <c r="A46" s="10" t="s">
        <v>1831</v>
      </c>
      <c r="B46" s="10" t="s">
        <v>1832</v>
      </c>
      <c r="C46" s="10" t="s">
        <v>1833</v>
      </c>
      <c r="D46" s="11">
        <v>45174</v>
      </c>
      <c r="E46" s="12">
        <v>532000</v>
      </c>
      <c r="F46" s="10" t="s">
        <v>22</v>
      </c>
      <c r="G46" s="10" t="s">
        <v>23</v>
      </c>
      <c r="H46" s="12">
        <v>532000</v>
      </c>
      <c r="I46" s="12">
        <v>246780</v>
      </c>
      <c r="J46" s="13">
        <f t="shared" ref="J46:J51" si="5">I46/H46*100</f>
        <v>46.387218045112782</v>
      </c>
      <c r="K46" s="12">
        <v>493558</v>
      </c>
      <c r="L46" s="12">
        <f>H46-398558</f>
        <v>133442</v>
      </c>
      <c r="M46" s="12">
        <v>95000</v>
      </c>
      <c r="N46" s="12">
        <f t="shared" ref="N46:N51" si="6">E46*0.2</f>
        <v>106400</v>
      </c>
      <c r="O46" s="14">
        <v>1</v>
      </c>
      <c r="P46" s="12">
        <f t="shared" ref="P46:P51" si="7">L46/O46</f>
        <v>133442</v>
      </c>
      <c r="Q46" s="15">
        <f t="shared" ref="Q46:Q51" si="8">L46/O46/43560</f>
        <v>3.0634067952249771</v>
      </c>
      <c r="R46" s="15">
        <f t="shared" ref="R46:R51" si="9">M46/O46/43560</f>
        <v>2.1808999081726355</v>
      </c>
      <c r="S46" s="10" t="s">
        <v>97</v>
      </c>
    </row>
    <row r="47" spans="1:19" x14ac:dyDescent="0.25">
      <c r="A47" s="10" t="s">
        <v>1834</v>
      </c>
      <c r="B47" s="10" t="s">
        <v>1835</v>
      </c>
      <c r="C47" s="10" t="s">
        <v>1833</v>
      </c>
      <c r="D47" s="11">
        <v>45476</v>
      </c>
      <c r="E47" s="12">
        <v>500000</v>
      </c>
      <c r="F47" s="10" t="s">
        <v>22</v>
      </c>
      <c r="G47" s="10" t="s">
        <v>23</v>
      </c>
      <c r="H47" s="12">
        <v>500000</v>
      </c>
      <c r="I47" s="12">
        <v>239100</v>
      </c>
      <c r="J47" s="13">
        <f t="shared" si="5"/>
        <v>47.82</v>
      </c>
      <c r="K47" s="12">
        <v>478191</v>
      </c>
      <c r="L47" s="12">
        <f>H47-383191</f>
        <v>116809</v>
      </c>
      <c r="M47" s="12">
        <v>95000</v>
      </c>
      <c r="N47" s="12">
        <f t="shared" si="6"/>
        <v>100000</v>
      </c>
      <c r="O47" s="14">
        <v>1</v>
      </c>
      <c r="P47" s="12">
        <f t="shared" si="7"/>
        <v>116809</v>
      </c>
      <c r="Q47" s="15">
        <f t="shared" si="8"/>
        <v>2.6815656565656565</v>
      </c>
      <c r="R47" s="15">
        <f t="shared" si="9"/>
        <v>2.1808999081726355</v>
      </c>
      <c r="S47" s="10" t="s">
        <v>97</v>
      </c>
    </row>
    <row r="48" spans="1:19" x14ac:dyDescent="0.25">
      <c r="A48" s="10" t="s">
        <v>1836</v>
      </c>
      <c r="B48" s="10" t="s">
        <v>1837</v>
      </c>
      <c r="C48" s="10" t="s">
        <v>1833</v>
      </c>
      <c r="D48" s="11">
        <v>45078</v>
      </c>
      <c r="E48" s="12">
        <v>425000</v>
      </c>
      <c r="F48" s="10" t="s">
        <v>22</v>
      </c>
      <c r="G48" s="10" t="s">
        <v>23</v>
      </c>
      <c r="H48" s="12">
        <v>425000</v>
      </c>
      <c r="I48" s="12">
        <v>238460</v>
      </c>
      <c r="J48" s="13">
        <f t="shared" si="5"/>
        <v>56.108235294117648</v>
      </c>
      <c r="K48" s="12">
        <v>476921</v>
      </c>
      <c r="L48" s="12">
        <f>H48-381921</f>
        <v>43079</v>
      </c>
      <c r="M48" s="12">
        <v>95000</v>
      </c>
      <c r="N48" s="12">
        <f t="shared" si="6"/>
        <v>85000</v>
      </c>
      <c r="O48" s="14">
        <v>1</v>
      </c>
      <c r="P48" s="12">
        <f t="shared" si="7"/>
        <v>43079</v>
      </c>
      <c r="Q48" s="15">
        <f t="shared" si="8"/>
        <v>0.9889577594123049</v>
      </c>
      <c r="R48" s="15">
        <f t="shared" si="9"/>
        <v>2.1808999081726355</v>
      </c>
      <c r="S48" s="10" t="s">
        <v>97</v>
      </c>
    </row>
    <row r="49" spans="1:19" x14ac:dyDescent="0.25">
      <c r="A49" s="10" t="s">
        <v>1838</v>
      </c>
      <c r="B49" s="10" t="s">
        <v>1839</v>
      </c>
      <c r="C49" s="10" t="s">
        <v>1833</v>
      </c>
      <c r="D49" s="11">
        <v>45063</v>
      </c>
      <c r="E49" s="12">
        <v>595000</v>
      </c>
      <c r="F49" s="10" t="s">
        <v>29</v>
      </c>
      <c r="G49" s="10" t="s">
        <v>23</v>
      </c>
      <c r="H49" s="12">
        <v>595000</v>
      </c>
      <c r="I49" s="12">
        <v>275770</v>
      </c>
      <c r="J49" s="13">
        <f t="shared" si="5"/>
        <v>46.347899159663861</v>
      </c>
      <c r="K49" s="12">
        <v>551543</v>
      </c>
      <c r="L49" s="12">
        <f>H49-456543</f>
        <v>138457</v>
      </c>
      <c r="M49" s="12">
        <v>95000</v>
      </c>
      <c r="N49" s="12">
        <f t="shared" si="6"/>
        <v>119000</v>
      </c>
      <c r="O49" s="14">
        <v>1</v>
      </c>
      <c r="P49" s="12">
        <f t="shared" si="7"/>
        <v>138457</v>
      </c>
      <c r="Q49" s="15">
        <f t="shared" si="8"/>
        <v>3.1785353535353535</v>
      </c>
      <c r="R49" s="15">
        <f t="shared" si="9"/>
        <v>2.1808999081726355</v>
      </c>
      <c r="S49" s="10" t="s">
        <v>97</v>
      </c>
    </row>
    <row r="50" spans="1:19" x14ac:dyDescent="0.25">
      <c r="A50" s="10" t="s">
        <v>1840</v>
      </c>
      <c r="B50" s="10" t="s">
        <v>1841</v>
      </c>
      <c r="C50" s="10" t="s">
        <v>1833</v>
      </c>
      <c r="D50" s="11">
        <v>45671</v>
      </c>
      <c r="E50" s="12">
        <v>480000</v>
      </c>
      <c r="F50" s="10" t="s">
        <v>29</v>
      </c>
      <c r="G50" s="10" t="s">
        <v>23</v>
      </c>
      <c r="H50" s="12">
        <v>480000</v>
      </c>
      <c r="I50" s="12">
        <v>261810</v>
      </c>
      <c r="J50" s="13">
        <f t="shared" si="5"/>
        <v>54.543750000000003</v>
      </c>
      <c r="K50" s="12">
        <v>523627</v>
      </c>
      <c r="L50" s="12">
        <f>H50-428627</f>
        <v>51373</v>
      </c>
      <c r="M50" s="12">
        <v>95000</v>
      </c>
      <c r="N50" s="12">
        <f t="shared" si="6"/>
        <v>96000</v>
      </c>
      <c r="O50" s="14">
        <v>1</v>
      </c>
      <c r="P50" s="12">
        <f t="shared" si="7"/>
        <v>51373</v>
      </c>
      <c r="Q50" s="15">
        <f t="shared" si="8"/>
        <v>1.1793617998163453</v>
      </c>
      <c r="R50" s="15">
        <f t="shared" si="9"/>
        <v>2.1808999081726355</v>
      </c>
      <c r="S50" s="10" t="s">
        <v>97</v>
      </c>
    </row>
    <row r="51" spans="1:19" x14ac:dyDescent="0.25">
      <c r="A51" s="10" t="s">
        <v>1842</v>
      </c>
      <c r="B51" s="10" t="s">
        <v>1843</v>
      </c>
      <c r="C51" s="10" t="s">
        <v>1833</v>
      </c>
      <c r="D51" s="11">
        <v>45233</v>
      </c>
      <c r="E51" s="12">
        <v>650000</v>
      </c>
      <c r="F51" s="10" t="s">
        <v>22</v>
      </c>
      <c r="G51" s="10" t="s">
        <v>23</v>
      </c>
      <c r="H51" s="12">
        <v>650000</v>
      </c>
      <c r="I51" s="12">
        <v>264780</v>
      </c>
      <c r="J51" s="13">
        <f t="shared" si="5"/>
        <v>40.735384615384618</v>
      </c>
      <c r="K51" s="12">
        <v>529554</v>
      </c>
      <c r="L51" s="12">
        <f>H51-434554</f>
        <v>215446</v>
      </c>
      <c r="M51" s="12">
        <v>95000</v>
      </c>
      <c r="N51" s="12">
        <f t="shared" si="6"/>
        <v>130000</v>
      </c>
      <c r="O51" s="14">
        <v>1</v>
      </c>
      <c r="P51" s="12">
        <f t="shared" si="7"/>
        <v>215446</v>
      </c>
      <c r="Q51" s="15">
        <f t="shared" si="8"/>
        <v>4.9459595959595957</v>
      </c>
      <c r="R51" s="15">
        <f t="shared" si="9"/>
        <v>2.1808999081726355</v>
      </c>
      <c r="S51" s="10" t="s">
        <v>97</v>
      </c>
    </row>
    <row r="52" spans="1:19" ht="15.75" thickBot="1" x14ac:dyDescent="0.3">
      <c r="A52" s="16"/>
      <c r="B52" s="16"/>
      <c r="C52" s="16"/>
      <c r="D52" s="17"/>
      <c r="E52" s="18"/>
      <c r="F52" s="16"/>
      <c r="G52" s="16"/>
      <c r="H52" s="18"/>
      <c r="I52" s="18"/>
      <c r="J52" s="19"/>
      <c r="K52" s="18"/>
      <c r="L52" s="18">
        <f>AVERAGE(L46:L51)</f>
        <v>116434.33333333333</v>
      </c>
      <c r="M52" s="18">
        <f>AVERAGE(M46:M51)</f>
        <v>95000</v>
      </c>
      <c r="N52" s="18">
        <f>AVERAGE(N46:N51)</f>
        <v>106066.66666666667</v>
      </c>
      <c r="O52" s="20"/>
      <c r="P52" s="18">
        <f>AVERAGE(P46:P51)</f>
        <v>116434.33333333333</v>
      </c>
      <c r="Q52" s="21">
        <f>AVERAGE(Q46:Q51)</f>
        <v>2.6729644934190389</v>
      </c>
      <c r="R52" s="21">
        <f>AVERAGE(R46:R51)</f>
        <v>2.1808999081726355</v>
      </c>
      <c r="S52" s="16"/>
    </row>
    <row r="53" spans="1:1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20436-F032-4CA3-9700-29BDFEF15648}">
  <dimension ref="A1:S167"/>
  <sheetViews>
    <sheetView workbookViewId="0">
      <selection activeCell="A150" sqref="A150:XFD157"/>
    </sheetView>
  </sheetViews>
  <sheetFormatPr defaultRowHeight="15" x14ac:dyDescent="0.25"/>
  <cols>
    <col min="1" max="1" width="12.42578125" bestFit="1" customWidth="1"/>
    <col min="2" max="2" width="23.140625" bestFit="1" customWidth="1"/>
    <col min="3" max="3" width="12.5703125" bestFit="1" customWidth="1"/>
    <col min="6" max="6" width="4.42578125" bestFit="1" customWidth="1"/>
    <col min="13" max="13" width="10.8554687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180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181</v>
      </c>
      <c r="B2" s="10" t="s">
        <v>182</v>
      </c>
      <c r="C2" s="10" t="s">
        <v>183</v>
      </c>
      <c r="D2" s="11">
        <v>45532</v>
      </c>
      <c r="E2" s="12">
        <v>365000</v>
      </c>
      <c r="F2" s="10" t="s">
        <v>29</v>
      </c>
      <c r="G2" s="10" t="s">
        <v>23</v>
      </c>
      <c r="H2" s="12">
        <v>365000</v>
      </c>
      <c r="I2" s="12">
        <v>143350</v>
      </c>
      <c r="J2" s="13">
        <f t="shared" ref="J2:J22" si="0">I2/H2*100</f>
        <v>39.273972602739725</v>
      </c>
      <c r="K2" s="12">
        <v>286690</v>
      </c>
      <c r="L2" s="12">
        <f>H2-188340</f>
        <v>176660</v>
      </c>
      <c r="M2" s="12">
        <v>98350</v>
      </c>
      <c r="N2" s="12">
        <f>E2*0.25</f>
        <v>91250</v>
      </c>
      <c r="O2" s="14">
        <v>0.42499999999999999</v>
      </c>
      <c r="P2" s="12">
        <f t="shared" ref="P2:P22" si="1">L2/O2</f>
        <v>415670.58823529416</v>
      </c>
      <c r="Q2" s="15">
        <f t="shared" ref="Q2:Q22" si="2">L2/O2/43560</f>
        <v>9.5424836601307206</v>
      </c>
      <c r="R2" s="15">
        <f t="shared" ref="R2:R22" si="3">M2/O2/43560</f>
        <v>5.3124831199697509</v>
      </c>
      <c r="S2" s="10" t="s">
        <v>24</v>
      </c>
    </row>
    <row r="3" spans="1:19" x14ac:dyDescent="0.25">
      <c r="A3" s="10" t="s">
        <v>184</v>
      </c>
      <c r="B3" s="10" t="s">
        <v>185</v>
      </c>
      <c r="C3" s="10" t="s">
        <v>183</v>
      </c>
      <c r="D3" s="11">
        <v>45310</v>
      </c>
      <c r="E3" s="12">
        <v>365000</v>
      </c>
      <c r="F3" s="10" t="s">
        <v>22</v>
      </c>
      <c r="G3" s="10" t="s">
        <v>23</v>
      </c>
      <c r="H3" s="12">
        <v>365000</v>
      </c>
      <c r="I3" s="12">
        <v>143380</v>
      </c>
      <c r="J3" s="13">
        <f t="shared" si="0"/>
        <v>39.282191780821918</v>
      </c>
      <c r="K3" s="12">
        <v>286758</v>
      </c>
      <c r="L3" s="12">
        <f>H3-196507</f>
        <v>168493</v>
      </c>
      <c r="M3" s="12">
        <v>90251</v>
      </c>
      <c r="N3" s="12">
        <f t="shared" ref="N3:N22" si="4">E3*0.25</f>
        <v>91250</v>
      </c>
      <c r="O3" s="14">
        <v>0.39</v>
      </c>
      <c r="P3" s="12">
        <f t="shared" si="1"/>
        <v>432033.33333333331</v>
      </c>
      <c r="Q3" s="15">
        <f t="shared" si="2"/>
        <v>9.9181205999387814</v>
      </c>
      <c r="R3" s="15">
        <f t="shared" si="3"/>
        <v>5.3125073579619029</v>
      </c>
      <c r="S3" s="10" t="s">
        <v>24</v>
      </c>
    </row>
    <row r="4" spans="1:19" x14ac:dyDescent="0.25">
      <c r="A4" s="10" t="s">
        <v>186</v>
      </c>
      <c r="B4" s="10" t="s">
        <v>187</v>
      </c>
      <c r="C4" s="10" t="s">
        <v>183</v>
      </c>
      <c r="D4" s="11">
        <v>45128</v>
      </c>
      <c r="E4" s="12">
        <v>388000</v>
      </c>
      <c r="F4" s="10" t="s">
        <v>29</v>
      </c>
      <c r="G4" s="10" t="s">
        <v>23</v>
      </c>
      <c r="H4" s="12">
        <v>388000</v>
      </c>
      <c r="I4" s="12">
        <v>194560</v>
      </c>
      <c r="J4" s="13">
        <f t="shared" si="0"/>
        <v>50.144329896907216</v>
      </c>
      <c r="K4" s="12">
        <v>389120</v>
      </c>
      <c r="L4" s="12">
        <f>H4-282943</f>
        <v>105057</v>
      </c>
      <c r="M4" s="12">
        <v>106177</v>
      </c>
      <c r="N4" s="12">
        <f t="shared" si="4"/>
        <v>97000</v>
      </c>
      <c r="O4" s="14">
        <v>0.39</v>
      </c>
      <c r="P4" s="12">
        <f t="shared" si="1"/>
        <v>269376.92307692306</v>
      </c>
      <c r="Q4" s="15">
        <f t="shared" si="2"/>
        <v>6.1840432294977745</v>
      </c>
      <c r="R4" s="15">
        <f t="shared" si="3"/>
        <v>6.2499705681523858</v>
      </c>
      <c r="S4" s="10" t="s">
        <v>24</v>
      </c>
    </row>
    <row r="5" spans="1:19" x14ac:dyDescent="0.25">
      <c r="A5" s="10" t="s">
        <v>188</v>
      </c>
      <c r="B5" s="10" t="s">
        <v>189</v>
      </c>
      <c r="C5" s="10" t="s">
        <v>183</v>
      </c>
      <c r="D5" s="11">
        <v>45219</v>
      </c>
      <c r="E5" s="12">
        <v>512000</v>
      </c>
      <c r="F5" s="10" t="s">
        <v>22</v>
      </c>
      <c r="G5" s="10" t="s">
        <v>23</v>
      </c>
      <c r="H5" s="12">
        <v>512000</v>
      </c>
      <c r="I5" s="12">
        <v>233330</v>
      </c>
      <c r="J5" s="13">
        <f t="shared" si="0"/>
        <v>45.572265625</v>
      </c>
      <c r="K5" s="12">
        <v>466664</v>
      </c>
      <c r="L5" s="12">
        <f>H5-366748</f>
        <v>145252</v>
      </c>
      <c r="M5" s="12">
        <v>99916</v>
      </c>
      <c r="N5" s="12">
        <f t="shared" si="4"/>
        <v>128000</v>
      </c>
      <c r="O5" s="14">
        <v>0.36699999999999999</v>
      </c>
      <c r="P5" s="12">
        <f t="shared" si="1"/>
        <v>395782.01634877385</v>
      </c>
      <c r="Q5" s="15">
        <f t="shared" si="2"/>
        <v>9.0859048748570679</v>
      </c>
      <c r="R5" s="15">
        <f t="shared" si="3"/>
        <v>6.2500156381751637</v>
      </c>
      <c r="S5" s="10" t="s">
        <v>24</v>
      </c>
    </row>
    <row r="6" spans="1:19" x14ac:dyDescent="0.25">
      <c r="A6" s="10" t="s">
        <v>190</v>
      </c>
      <c r="B6" s="10" t="s">
        <v>191</v>
      </c>
      <c r="C6" s="10" t="s">
        <v>183</v>
      </c>
      <c r="D6" s="11">
        <v>45421</v>
      </c>
      <c r="E6" s="12">
        <v>582000</v>
      </c>
      <c r="F6" s="10" t="s">
        <v>29</v>
      </c>
      <c r="G6" s="10" t="s">
        <v>23</v>
      </c>
      <c r="H6" s="12">
        <v>582000</v>
      </c>
      <c r="I6" s="12">
        <v>225660</v>
      </c>
      <c r="J6" s="13">
        <f t="shared" si="0"/>
        <v>38.773195876288661</v>
      </c>
      <c r="K6" s="12">
        <v>451315</v>
      </c>
      <c r="L6" s="12">
        <f>H6-352488</f>
        <v>229512</v>
      </c>
      <c r="M6" s="12">
        <v>98827</v>
      </c>
      <c r="N6" s="12">
        <f t="shared" si="4"/>
        <v>145500</v>
      </c>
      <c r="O6" s="14">
        <v>0.36299999999999999</v>
      </c>
      <c r="P6" s="12">
        <f t="shared" si="1"/>
        <v>632264.4628099174</v>
      </c>
      <c r="Q6" s="15">
        <f t="shared" si="2"/>
        <v>14.514794830347048</v>
      </c>
      <c r="R6" s="15">
        <f t="shared" si="3"/>
        <v>6.2500158104966514</v>
      </c>
      <c r="S6" s="10" t="s">
        <v>24</v>
      </c>
    </row>
    <row r="7" spans="1:19" x14ac:dyDescent="0.25">
      <c r="A7" s="10" t="s">
        <v>192</v>
      </c>
      <c r="B7" s="10" t="s">
        <v>193</v>
      </c>
      <c r="C7" s="10" t="s">
        <v>183</v>
      </c>
      <c r="D7" s="11">
        <v>45313</v>
      </c>
      <c r="E7" s="12">
        <v>415000</v>
      </c>
      <c r="F7" s="10" t="s">
        <v>22</v>
      </c>
      <c r="G7" s="10" t="s">
        <v>23</v>
      </c>
      <c r="H7" s="12">
        <v>415000</v>
      </c>
      <c r="I7" s="12">
        <v>232920</v>
      </c>
      <c r="J7" s="13">
        <f t="shared" si="0"/>
        <v>56.12530120481928</v>
      </c>
      <c r="K7" s="12">
        <v>465835</v>
      </c>
      <c r="L7" s="12">
        <f>H7-366191</f>
        <v>48809</v>
      </c>
      <c r="M7" s="12">
        <v>99644</v>
      </c>
      <c r="N7" s="12">
        <f t="shared" si="4"/>
        <v>103750</v>
      </c>
      <c r="O7" s="14">
        <v>0.36599999999999999</v>
      </c>
      <c r="P7" s="12">
        <f t="shared" si="1"/>
        <v>133357.92349726777</v>
      </c>
      <c r="Q7" s="15">
        <f t="shared" si="2"/>
        <v>3.0614766643082589</v>
      </c>
      <c r="R7" s="15">
        <f t="shared" si="3"/>
        <v>6.2500313618048349</v>
      </c>
      <c r="S7" s="10" t="s">
        <v>24</v>
      </c>
    </row>
    <row r="8" spans="1:19" x14ac:dyDescent="0.25">
      <c r="A8" s="10" t="s">
        <v>194</v>
      </c>
      <c r="B8" s="10" t="s">
        <v>195</v>
      </c>
      <c r="C8" s="10" t="s">
        <v>183</v>
      </c>
      <c r="D8" s="11">
        <v>45407</v>
      </c>
      <c r="E8" s="12">
        <v>502500</v>
      </c>
      <c r="F8" s="10" t="s">
        <v>22</v>
      </c>
      <c r="G8" s="10" t="s">
        <v>23</v>
      </c>
      <c r="H8" s="12">
        <v>502500</v>
      </c>
      <c r="I8" s="12">
        <v>199360</v>
      </c>
      <c r="J8" s="13">
        <f t="shared" si="0"/>
        <v>39.67363184079602</v>
      </c>
      <c r="K8" s="12">
        <v>398712</v>
      </c>
      <c r="L8" s="12">
        <f>H8-272116</f>
        <v>230384</v>
      </c>
      <c r="M8" s="12">
        <v>126596</v>
      </c>
      <c r="N8" s="12">
        <f t="shared" si="4"/>
        <v>125625</v>
      </c>
      <c r="O8" s="14">
        <v>0.46500000000000002</v>
      </c>
      <c r="P8" s="12">
        <f t="shared" si="1"/>
        <v>495449.46236559137</v>
      </c>
      <c r="Q8" s="15">
        <f t="shared" si="2"/>
        <v>11.373954599761051</v>
      </c>
      <c r="R8" s="15">
        <f t="shared" si="3"/>
        <v>6.2499876576122908</v>
      </c>
      <c r="S8" s="10" t="s">
        <v>24</v>
      </c>
    </row>
    <row r="9" spans="1:19" x14ac:dyDescent="0.25">
      <c r="A9" s="10" t="s">
        <v>196</v>
      </c>
      <c r="B9" s="10" t="s">
        <v>197</v>
      </c>
      <c r="C9" s="10" t="s">
        <v>183</v>
      </c>
      <c r="D9" s="11">
        <v>45491</v>
      </c>
      <c r="E9" s="12">
        <v>600000</v>
      </c>
      <c r="F9" s="10" t="s">
        <v>29</v>
      </c>
      <c r="G9" s="10" t="s">
        <v>23</v>
      </c>
      <c r="H9" s="12">
        <v>600000</v>
      </c>
      <c r="I9" s="12">
        <v>262390</v>
      </c>
      <c r="J9" s="13">
        <f t="shared" si="0"/>
        <v>43.731666666666669</v>
      </c>
      <c r="K9" s="12">
        <v>524775</v>
      </c>
      <c r="L9" s="12">
        <f>H9-422409</f>
        <v>177591</v>
      </c>
      <c r="M9" s="12">
        <v>102366</v>
      </c>
      <c r="N9" s="12">
        <f t="shared" si="4"/>
        <v>150000</v>
      </c>
      <c r="O9" s="14">
        <v>0.376</v>
      </c>
      <c r="P9" s="12">
        <f t="shared" si="1"/>
        <v>472316.48936170212</v>
      </c>
      <c r="Q9" s="15">
        <f t="shared" si="2"/>
        <v>10.842894613445871</v>
      </c>
      <c r="R9" s="15">
        <f t="shared" si="3"/>
        <v>6.25</v>
      </c>
      <c r="S9" s="10" t="s">
        <v>24</v>
      </c>
    </row>
    <row r="10" spans="1:19" x14ac:dyDescent="0.25">
      <c r="A10" s="10" t="s">
        <v>198</v>
      </c>
      <c r="B10" s="10" t="s">
        <v>199</v>
      </c>
      <c r="C10" s="10" t="s">
        <v>183</v>
      </c>
      <c r="D10" s="11">
        <v>45467</v>
      </c>
      <c r="E10" s="12">
        <v>465000</v>
      </c>
      <c r="F10" s="10" t="s">
        <v>29</v>
      </c>
      <c r="G10" s="10" t="s">
        <v>23</v>
      </c>
      <c r="H10" s="12">
        <v>465000</v>
      </c>
      <c r="I10" s="12">
        <v>224770</v>
      </c>
      <c r="J10" s="13">
        <f t="shared" si="0"/>
        <v>48.337634408602149</v>
      </c>
      <c r="K10" s="12">
        <v>449548</v>
      </c>
      <c r="L10" s="12">
        <f>H10-357664</f>
        <v>107336</v>
      </c>
      <c r="M10" s="12">
        <v>91884</v>
      </c>
      <c r="N10" s="12">
        <f t="shared" si="4"/>
        <v>116250</v>
      </c>
      <c r="O10" s="14">
        <v>0.375</v>
      </c>
      <c r="P10" s="12">
        <f t="shared" si="1"/>
        <v>286229.33333333331</v>
      </c>
      <c r="Q10" s="15">
        <f t="shared" si="2"/>
        <v>6.5709213345576973</v>
      </c>
      <c r="R10" s="15">
        <f t="shared" si="3"/>
        <v>5.6249770431588617</v>
      </c>
      <c r="S10" s="10" t="s">
        <v>24</v>
      </c>
    </row>
    <row r="11" spans="1:19" x14ac:dyDescent="0.25">
      <c r="A11" s="10" t="s">
        <v>200</v>
      </c>
      <c r="B11" s="10" t="s">
        <v>201</v>
      </c>
      <c r="C11" s="10" t="s">
        <v>183</v>
      </c>
      <c r="D11" s="11">
        <v>45315</v>
      </c>
      <c r="E11" s="12">
        <v>350000</v>
      </c>
      <c r="F11" s="10" t="s">
        <v>22</v>
      </c>
      <c r="G11" s="10" t="s">
        <v>23</v>
      </c>
      <c r="H11" s="12">
        <v>350000</v>
      </c>
      <c r="I11" s="12">
        <v>226560</v>
      </c>
      <c r="J11" s="13">
        <f t="shared" si="0"/>
        <v>64.73142857142858</v>
      </c>
      <c r="K11" s="12">
        <v>453116</v>
      </c>
      <c r="L11" s="12">
        <f>H11-353200</f>
        <v>-3200</v>
      </c>
      <c r="M11" s="12">
        <v>99916</v>
      </c>
      <c r="N11" s="12">
        <f t="shared" si="4"/>
        <v>87500</v>
      </c>
      <c r="O11" s="14">
        <v>0.36699999999999999</v>
      </c>
      <c r="P11" s="12">
        <f t="shared" si="1"/>
        <v>-8719.3460490463222</v>
      </c>
      <c r="Q11" s="15">
        <f t="shared" si="2"/>
        <v>-0.20016864208095322</v>
      </c>
      <c r="R11" s="15">
        <f t="shared" si="3"/>
        <v>6.2500156381751637</v>
      </c>
      <c r="S11" s="10" t="s">
        <v>24</v>
      </c>
    </row>
    <row r="12" spans="1:19" x14ac:dyDescent="0.25">
      <c r="A12" s="10" t="s">
        <v>202</v>
      </c>
      <c r="B12" s="10" t="s">
        <v>203</v>
      </c>
      <c r="C12" s="10" t="s">
        <v>183</v>
      </c>
      <c r="D12" s="11">
        <v>45667</v>
      </c>
      <c r="E12" s="12">
        <v>468000</v>
      </c>
      <c r="F12" s="10" t="s">
        <v>29</v>
      </c>
      <c r="G12" s="10" t="s">
        <v>23</v>
      </c>
      <c r="H12" s="12">
        <v>468000</v>
      </c>
      <c r="I12" s="12">
        <v>249310</v>
      </c>
      <c r="J12" s="13">
        <f t="shared" si="0"/>
        <v>53.271367521367516</v>
      </c>
      <c r="K12" s="12">
        <v>498619</v>
      </c>
      <c r="L12" s="12">
        <f>H12-383457</f>
        <v>84543</v>
      </c>
      <c r="M12" s="12">
        <v>115162</v>
      </c>
      <c r="N12" s="12">
        <f t="shared" si="4"/>
        <v>117000</v>
      </c>
      <c r="O12" s="14">
        <v>0.42299999999999999</v>
      </c>
      <c r="P12" s="12">
        <f t="shared" si="1"/>
        <v>199865.24822695035</v>
      </c>
      <c r="Q12" s="15">
        <f t="shared" si="2"/>
        <v>4.5882747526848107</v>
      </c>
      <c r="R12" s="15">
        <f t="shared" si="3"/>
        <v>6.2500135678730135</v>
      </c>
      <c r="S12" s="10" t="s">
        <v>24</v>
      </c>
    </row>
    <row r="13" spans="1:19" x14ac:dyDescent="0.25">
      <c r="A13" s="10" t="s">
        <v>204</v>
      </c>
      <c r="B13" s="10" t="s">
        <v>205</v>
      </c>
      <c r="C13" s="10" t="s">
        <v>183</v>
      </c>
      <c r="D13" s="11">
        <v>45418</v>
      </c>
      <c r="E13" s="12">
        <v>500000</v>
      </c>
      <c r="F13" s="10" t="s">
        <v>29</v>
      </c>
      <c r="G13" s="10" t="s">
        <v>23</v>
      </c>
      <c r="H13" s="12">
        <v>500000</v>
      </c>
      <c r="I13" s="12">
        <v>307340</v>
      </c>
      <c r="J13" s="13">
        <f t="shared" si="0"/>
        <v>61.468000000000004</v>
      </c>
      <c r="K13" s="12">
        <v>614678</v>
      </c>
      <c r="L13" s="12">
        <f>H13-464887</f>
        <v>35113</v>
      </c>
      <c r="M13" s="12">
        <v>149791</v>
      </c>
      <c r="N13" s="12">
        <f t="shared" si="4"/>
        <v>125000</v>
      </c>
      <c r="O13" s="14">
        <v>0.72899999999999998</v>
      </c>
      <c r="P13" s="12">
        <f t="shared" si="1"/>
        <v>48165.980795610427</v>
      </c>
      <c r="Q13" s="15">
        <f t="shared" si="2"/>
        <v>1.1057387694125442</v>
      </c>
      <c r="R13" s="15">
        <f t="shared" si="3"/>
        <v>4.7170482729779408</v>
      </c>
      <c r="S13" s="10" t="s">
        <v>24</v>
      </c>
    </row>
    <row r="14" spans="1:19" x14ac:dyDescent="0.25">
      <c r="A14" s="10" t="s">
        <v>206</v>
      </c>
      <c r="B14" s="10" t="s">
        <v>207</v>
      </c>
      <c r="C14" s="10" t="s">
        <v>183</v>
      </c>
      <c r="D14" s="11">
        <v>45481</v>
      </c>
      <c r="E14" s="12">
        <v>435400</v>
      </c>
      <c r="F14" s="10" t="s">
        <v>22</v>
      </c>
      <c r="G14" s="10" t="s">
        <v>23</v>
      </c>
      <c r="H14" s="12">
        <v>435400</v>
      </c>
      <c r="I14" s="12">
        <v>214600</v>
      </c>
      <c r="J14" s="13">
        <f t="shared" si="0"/>
        <v>49.28801102434543</v>
      </c>
      <c r="K14" s="12">
        <v>429198</v>
      </c>
      <c r="L14" s="12">
        <f>H14-322476</f>
        <v>112924</v>
      </c>
      <c r="M14" s="12">
        <v>106722</v>
      </c>
      <c r="N14" s="12">
        <f t="shared" si="4"/>
        <v>108850</v>
      </c>
      <c r="O14" s="14">
        <v>0.39200000000000002</v>
      </c>
      <c r="P14" s="12">
        <f t="shared" si="1"/>
        <v>288071.42857142858</v>
      </c>
      <c r="Q14" s="15">
        <f t="shared" si="2"/>
        <v>6.6132100223009314</v>
      </c>
      <c r="R14" s="15">
        <f t="shared" si="3"/>
        <v>6.25</v>
      </c>
      <c r="S14" s="10" t="s">
        <v>24</v>
      </c>
    </row>
    <row r="15" spans="1:19" x14ac:dyDescent="0.25">
      <c r="A15" s="10" t="s">
        <v>208</v>
      </c>
      <c r="B15" s="10" t="s">
        <v>209</v>
      </c>
      <c r="C15" s="10" t="s">
        <v>183</v>
      </c>
      <c r="D15" s="11">
        <v>45147</v>
      </c>
      <c r="E15" s="12">
        <v>429500</v>
      </c>
      <c r="F15" s="10" t="s">
        <v>22</v>
      </c>
      <c r="G15" s="10" t="s">
        <v>23</v>
      </c>
      <c r="H15" s="12">
        <v>429500</v>
      </c>
      <c r="I15" s="12">
        <v>198560</v>
      </c>
      <c r="J15" s="13">
        <f t="shared" si="0"/>
        <v>46.230500582072175</v>
      </c>
      <c r="K15" s="12">
        <v>397113</v>
      </c>
      <c r="L15" s="12">
        <f>H15-306454</f>
        <v>123046</v>
      </c>
      <c r="M15" s="12">
        <v>90659</v>
      </c>
      <c r="N15" s="12">
        <f t="shared" si="4"/>
        <v>107375</v>
      </c>
      <c r="O15" s="14">
        <v>0.33300000000000002</v>
      </c>
      <c r="P15" s="12">
        <f t="shared" si="1"/>
        <v>369507.50750750751</v>
      </c>
      <c r="Q15" s="15">
        <f t="shared" si="2"/>
        <v>8.4827251493918165</v>
      </c>
      <c r="R15" s="15">
        <f t="shared" si="3"/>
        <v>6.2499827651342796</v>
      </c>
      <c r="S15" s="10" t="s">
        <v>24</v>
      </c>
    </row>
    <row r="16" spans="1:19" x14ac:dyDescent="0.25">
      <c r="A16" s="10" t="s">
        <v>210</v>
      </c>
      <c r="B16" s="10" t="s">
        <v>211</v>
      </c>
      <c r="C16" s="10" t="s">
        <v>183</v>
      </c>
      <c r="D16" s="11">
        <v>45567</v>
      </c>
      <c r="E16" s="12">
        <v>435000</v>
      </c>
      <c r="F16" s="10" t="s">
        <v>22</v>
      </c>
      <c r="G16" s="10" t="s">
        <v>23</v>
      </c>
      <c r="H16" s="12">
        <v>435000</v>
      </c>
      <c r="I16" s="12">
        <v>239660</v>
      </c>
      <c r="J16" s="13">
        <f t="shared" si="0"/>
        <v>55.094252873563221</v>
      </c>
      <c r="K16" s="12">
        <v>479323</v>
      </c>
      <c r="L16" s="12">
        <f>H16-389208</f>
        <v>45792</v>
      </c>
      <c r="M16" s="12">
        <v>90115</v>
      </c>
      <c r="N16" s="12">
        <f t="shared" si="4"/>
        <v>108750</v>
      </c>
      <c r="O16" s="14">
        <v>0.33100000000000002</v>
      </c>
      <c r="P16" s="12">
        <f t="shared" si="1"/>
        <v>138344.41087613293</v>
      </c>
      <c r="Q16" s="15">
        <f t="shared" si="2"/>
        <v>3.1759506629047962</v>
      </c>
      <c r="R16" s="15">
        <f t="shared" si="3"/>
        <v>6.2500173390038807</v>
      </c>
      <c r="S16" s="10" t="s">
        <v>24</v>
      </c>
    </row>
    <row r="17" spans="1:19" x14ac:dyDescent="0.25">
      <c r="A17" s="10" t="s">
        <v>212</v>
      </c>
      <c r="B17" s="10" t="s">
        <v>213</v>
      </c>
      <c r="C17" s="10" t="s">
        <v>183</v>
      </c>
      <c r="D17" s="11">
        <v>45215</v>
      </c>
      <c r="E17" s="12">
        <v>490000</v>
      </c>
      <c r="F17" s="10" t="s">
        <v>22</v>
      </c>
      <c r="G17" s="10" t="s">
        <v>23</v>
      </c>
      <c r="H17" s="12">
        <v>490000</v>
      </c>
      <c r="I17" s="12">
        <v>245180</v>
      </c>
      <c r="J17" s="13">
        <f t="shared" si="0"/>
        <v>50.036734693877548</v>
      </c>
      <c r="K17" s="12">
        <v>490360</v>
      </c>
      <c r="L17" s="12">
        <f>H17-400245</f>
        <v>89755</v>
      </c>
      <c r="M17" s="12">
        <v>90115</v>
      </c>
      <c r="N17" s="12">
        <f t="shared" si="4"/>
        <v>122500</v>
      </c>
      <c r="O17" s="14">
        <v>0.33100000000000002</v>
      </c>
      <c r="P17" s="12">
        <f t="shared" si="1"/>
        <v>271163.14199395769</v>
      </c>
      <c r="Q17" s="15">
        <f t="shared" si="2"/>
        <v>6.2250491734150062</v>
      </c>
      <c r="R17" s="15">
        <f t="shared" si="3"/>
        <v>6.2500173390038807</v>
      </c>
      <c r="S17" s="10" t="s">
        <v>24</v>
      </c>
    </row>
    <row r="18" spans="1:19" x14ac:dyDescent="0.25">
      <c r="A18" s="10" t="s">
        <v>214</v>
      </c>
      <c r="B18" s="10" t="s">
        <v>215</v>
      </c>
      <c r="C18" s="10" t="s">
        <v>183</v>
      </c>
      <c r="D18" s="11">
        <v>45547</v>
      </c>
      <c r="E18" s="12">
        <v>480000</v>
      </c>
      <c r="F18" s="10" t="s">
        <v>22</v>
      </c>
      <c r="G18" s="10" t="s">
        <v>23</v>
      </c>
      <c r="H18" s="12">
        <v>480000</v>
      </c>
      <c r="I18" s="12">
        <v>230640</v>
      </c>
      <c r="J18" s="13">
        <f t="shared" si="0"/>
        <v>48.05</v>
      </c>
      <c r="K18" s="12">
        <v>461289</v>
      </c>
      <c r="L18" s="12">
        <f>H18-371174</f>
        <v>108826</v>
      </c>
      <c r="M18" s="12">
        <v>90115</v>
      </c>
      <c r="N18" s="12">
        <f t="shared" si="4"/>
        <v>120000</v>
      </c>
      <c r="O18" s="14">
        <v>0.33100000000000002</v>
      </c>
      <c r="P18" s="12">
        <f t="shared" si="1"/>
        <v>328779.45619335346</v>
      </c>
      <c r="Q18" s="15">
        <f t="shared" si="2"/>
        <v>7.5477377454856169</v>
      </c>
      <c r="R18" s="15">
        <f t="shared" si="3"/>
        <v>6.2500173390038807</v>
      </c>
      <c r="S18" s="10" t="s">
        <v>24</v>
      </c>
    </row>
    <row r="19" spans="1:19" x14ac:dyDescent="0.25">
      <c r="A19" s="10" t="s">
        <v>216</v>
      </c>
      <c r="B19" s="10" t="s">
        <v>217</v>
      </c>
      <c r="C19" s="10" t="s">
        <v>183</v>
      </c>
      <c r="D19" s="11">
        <v>45632</v>
      </c>
      <c r="E19" s="12">
        <v>450000</v>
      </c>
      <c r="F19" s="10" t="s">
        <v>29</v>
      </c>
      <c r="G19" s="10" t="s">
        <v>23</v>
      </c>
      <c r="H19" s="12">
        <v>450000</v>
      </c>
      <c r="I19" s="12">
        <v>228890</v>
      </c>
      <c r="J19" s="13">
        <f t="shared" si="0"/>
        <v>50.864444444444445</v>
      </c>
      <c r="K19" s="12">
        <v>457781</v>
      </c>
      <c r="L19" s="12">
        <f>H19-364944</f>
        <v>85056</v>
      </c>
      <c r="M19" s="12">
        <v>92837</v>
      </c>
      <c r="N19" s="12">
        <f t="shared" si="4"/>
        <v>112500</v>
      </c>
      <c r="O19" s="14">
        <v>0.34100000000000003</v>
      </c>
      <c r="P19" s="12">
        <f t="shared" si="1"/>
        <v>249431.08504398825</v>
      </c>
      <c r="Q19" s="15">
        <f t="shared" si="2"/>
        <v>5.7261497943982613</v>
      </c>
      <c r="R19" s="15">
        <f t="shared" si="3"/>
        <v>6.2499831694713057</v>
      </c>
      <c r="S19" s="10" t="s">
        <v>24</v>
      </c>
    </row>
    <row r="20" spans="1:19" x14ac:dyDescent="0.25">
      <c r="A20" s="10" t="s">
        <v>218</v>
      </c>
      <c r="B20" s="10" t="s">
        <v>219</v>
      </c>
      <c r="C20" s="10" t="s">
        <v>183</v>
      </c>
      <c r="D20" s="11">
        <v>45504</v>
      </c>
      <c r="E20" s="12">
        <v>380000</v>
      </c>
      <c r="F20" s="10" t="s">
        <v>29</v>
      </c>
      <c r="G20" s="10" t="s">
        <v>23</v>
      </c>
      <c r="H20" s="12">
        <v>380000</v>
      </c>
      <c r="I20" s="12">
        <v>222910</v>
      </c>
      <c r="J20" s="13">
        <f t="shared" si="0"/>
        <v>58.660526315789475</v>
      </c>
      <c r="K20" s="12">
        <v>445815</v>
      </c>
      <c r="L20" s="12">
        <f>H20-354339</f>
        <v>25661</v>
      </c>
      <c r="M20" s="12">
        <v>91476</v>
      </c>
      <c r="N20" s="12">
        <f t="shared" si="4"/>
        <v>95000</v>
      </c>
      <c r="O20" s="14">
        <v>0.33600000000000002</v>
      </c>
      <c r="P20" s="12">
        <f t="shared" si="1"/>
        <v>76372.023809523802</v>
      </c>
      <c r="Q20" s="15">
        <f t="shared" si="2"/>
        <v>1.753260418033145</v>
      </c>
      <c r="R20" s="15">
        <f t="shared" si="3"/>
        <v>6.25</v>
      </c>
      <c r="S20" s="10" t="s">
        <v>24</v>
      </c>
    </row>
    <row r="21" spans="1:19" x14ac:dyDescent="0.25">
      <c r="A21" s="10" t="s">
        <v>220</v>
      </c>
      <c r="B21" s="10" t="s">
        <v>221</v>
      </c>
      <c r="C21" s="10" t="s">
        <v>183</v>
      </c>
      <c r="D21" s="11">
        <v>45208</v>
      </c>
      <c r="E21" s="12">
        <v>395000</v>
      </c>
      <c r="F21" s="10" t="s">
        <v>22</v>
      </c>
      <c r="G21" s="10" t="s">
        <v>23</v>
      </c>
      <c r="H21" s="12">
        <v>395000</v>
      </c>
      <c r="I21" s="12">
        <v>173840</v>
      </c>
      <c r="J21" s="13">
        <f t="shared" si="0"/>
        <v>44.010126582278481</v>
      </c>
      <c r="K21" s="12">
        <v>347685</v>
      </c>
      <c r="L21" s="12">
        <f>H21-255392</f>
        <v>139608</v>
      </c>
      <c r="M21" s="12">
        <v>92293</v>
      </c>
      <c r="N21" s="12">
        <f t="shared" si="4"/>
        <v>98750</v>
      </c>
      <c r="O21" s="14">
        <v>0.33900000000000002</v>
      </c>
      <c r="P21" s="12">
        <f t="shared" si="1"/>
        <v>411823.00884955749</v>
      </c>
      <c r="Q21" s="15">
        <f t="shared" si="2"/>
        <v>9.4541553914039831</v>
      </c>
      <c r="R21" s="15">
        <f t="shared" si="3"/>
        <v>6.2500169298238486</v>
      </c>
      <c r="S21" s="10" t="s">
        <v>24</v>
      </c>
    </row>
    <row r="22" spans="1:19" x14ac:dyDescent="0.25">
      <c r="A22" s="10" t="s">
        <v>222</v>
      </c>
      <c r="B22" s="10" t="s">
        <v>223</v>
      </c>
      <c r="C22" s="10" t="s">
        <v>183</v>
      </c>
      <c r="D22" s="11">
        <v>45019</v>
      </c>
      <c r="E22" s="12">
        <v>405000</v>
      </c>
      <c r="F22" s="10" t="s">
        <v>29</v>
      </c>
      <c r="G22" s="10" t="s">
        <v>23</v>
      </c>
      <c r="H22" s="12">
        <v>405000</v>
      </c>
      <c r="I22" s="12">
        <v>205300</v>
      </c>
      <c r="J22" s="13">
        <f t="shared" si="0"/>
        <v>50.691358024691354</v>
      </c>
      <c r="K22" s="12">
        <v>410601</v>
      </c>
      <c r="L22" s="12">
        <f>H22-319942</f>
        <v>85058</v>
      </c>
      <c r="M22" s="12">
        <v>90659</v>
      </c>
      <c r="N22" s="12">
        <f t="shared" si="4"/>
        <v>101250</v>
      </c>
      <c r="O22" s="14">
        <v>0.33300000000000002</v>
      </c>
      <c r="P22" s="12">
        <f t="shared" si="1"/>
        <v>255429.42942942941</v>
      </c>
      <c r="Q22" s="15">
        <f t="shared" si="2"/>
        <v>5.863852833549803</v>
      </c>
      <c r="R22" s="15">
        <f t="shared" si="3"/>
        <v>6.2499827651342796</v>
      </c>
      <c r="S22" s="10" t="s">
        <v>24</v>
      </c>
    </row>
    <row r="23" spans="1:19" ht="15.75" thickBot="1" x14ac:dyDescent="0.3">
      <c r="A23" s="16"/>
      <c r="B23" s="16"/>
      <c r="C23" s="16"/>
      <c r="D23" s="17"/>
      <c r="E23" s="18"/>
      <c r="F23" s="16"/>
      <c r="G23" s="16"/>
      <c r="H23" s="18"/>
      <c r="I23" s="18"/>
      <c r="J23" s="19"/>
      <c r="K23" s="18"/>
      <c r="L23" s="18">
        <f>AVERAGE(L2:L22)</f>
        <v>110536.95238095238</v>
      </c>
      <c r="M23" s="18">
        <f>AVERAGE(M2:M22)</f>
        <v>100660.52380952382</v>
      </c>
      <c r="N23" s="18">
        <f>AVERAGE(N2:N22)</f>
        <v>112052.38095238095</v>
      </c>
      <c r="O23" s="20"/>
      <c r="P23" s="18"/>
      <c r="Q23" s="21">
        <f>AVERAGE(Q2:Q22)</f>
        <v>6.7347871656068579</v>
      </c>
      <c r="R23" s="21">
        <f>AVERAGE(R2:R22)</f>
        <v>6.0579563658539666</v>
      </c>
      <c r="S23" s="16"/>
    </row>
    <row r="24" spans="1:19" ht="15.75" thickTop="1" x14ac:dyDescent="0.25">
      <c r="A24" s="10"/>
      <c r="B24" s="10"/>
      <c r="C24" s="10"/>
      <c r="D24" s="11"/>
      <c r="E24" s="12"/>
      <c r="F24" s="10"/>
      <c r="G24" s="10"/>
      <c r="H24" s="12"/>
      <c r="I24" s="12"/>
      <c r="J24" s="13"/>
      <c r="K24" s="12"/>
      <c r="L24" s="12"/>
      <c r="M24" s="12"/>
      <c r="N24" s="12"/>
      <c r="O24" s="14"/>
      <c r="P24" s="12"/>
      <c r="Q24" s="15"/>
      <c r="R24" s="15"/>
      <c r="S24" s="10"/>
    </row>
    <row r="25" spans="1:19" x14ac:dyDescent="0.25">
      <c r="A25" s="10"/>
      <c r="B25" s="10"/>
      <c r="C25" s="10"/>
      <c r="D25" s="11"/>
      <c r="E25" s="12"/>
      <c r="F25" s="10"/>
      <c r="G25" s="10"/>
      <c r="H25" s="12"/>
      <c r="I25" s="12"/>
      <c r="J25" s="13"/>
      <c r="K25" s="12"/>
      <c r="L25" s="12"/>
      <c r="M25" s="12"/>
      <c r="N25" s="12"/>
      <c r="O25" s="14"/>
      <c r="P25" s="12"/>
      <c r="Q25" s="15"/>
      <c r="R25" s="15"/>
      <c r="S25" s="10"/>
    </row>
    <row r="26" spans="1:19" x14ac:dyDescent="0.25">
      <c r="A26" s="10" t="s">
        <v>224</v>
      </c>
      <c r="B26" s="10" t="s">
        <v>225</v>
      </c>
      <c r="C26" s="10" t="s">
        <v>226</v>
      </c>
      <c r="D26" s="11">
        <v>45058</v>
      </c>
      <c r="E26" s="12">
        <v>500000</v>
      </c>
      <c r="F26" s="10" t="s">
        <v>29</v>
      </c>
      <c r="G26" s="10" t="s">
        <v>23</v>
      </c>
      <c r="H26" s="12">
        <v>500000</v>
      </c>
      <c r="I26" s="12">
        <v>217510</v>
      </c>
      <c r="J26" s="13">
        <f t="shared" ref="J26:J76" si="5">I26/H26*100</f>
        <v>43.502000000000002</v>
      </c>
      <c r="K26" s="12">
        <v>435015</v>
      </c>
      <c r="L26" s="12">
        <f>H26-360015</f>
        <v>139985</v>
      </c>
      <c r="M26" s="12">
        <v>75000</v>
      </c>
      <c r="N26" s="12">
        <f>E26*0.3</f>
        <v>150000</v>
      </c>
      <c r="O26" s="14">
        <v>1</v>
      </c>
      <c r="P26" s="12">
        <f t="shared" ref="P26:P76" si="6">L26/O26</f>
        <v>139985</v>
      </c>
      <c r="Q26" s="15">
        <f t="shared" ref="Q26:Q76" si="7">L26/O26/43560</f>
        <v>3.2136134067952251</v>
      </c>
      <c r="R26" s="15">
        <f t="shared" ref="R26:R76" si="8">M26/O26/43560</f>
        <v>1.721763085399449</v>
      </c>
      <c r="S26" s="10" t="s">
        <v>97</v>
      </c>
    </row>
    <row r="27" spans="1:19" x14ac:dyDescent="0.25">
      <c r="A27" s="10" t="s">
        <v>227</v>
      </c>
      <c r="B27" s="10" t="s">
        <v>228</v>
      </c>
      <c r="C27" s="10" t="s">
        <v>226</v>
      </c>
      <c r="D27" s="11">
        <v>45740</v>
      </c>
      <c r="E27" s="12">
        <v>530000</v>
      </c>
      <c r="F27" s="10" t="s">
        <v>29</v>
      </c>
      <c r="G27" s="10" t="s">
        <v>23</v>
      </c>
      <c r="H27" s="12">
        <v>530000</v>
      </c>
      <c r="I27" s="12">
        <v>202840</v>
      </c>
      <c r="J27" s="13">
        <f t="shared" si="5"/>
        <v>38.271698113207549</v>
      </c>
      <c r="K27" s="12">
        <v>405680</v>
      </c>
      <c r="L27" s="12">
        <f>H27-330680</f>
        <v>199320</v>
      </c>
      <c r="M27" s="12">
        <v>75000</v>
      </c>
      <c r="N27" s="12">
        <f t="shared" ref="N27:N76" si="9">E27*0.3</f>
        <v>159000</v>
      </c>
      <c r="O27" s="14">
        <v>1</v>
      </c>
      <c r="P27" s="12">
        <f t="shared" si="6"/>
        <v>199320</v>
      </c>
      <c r="Q27" s="15">
        <f t="shared" si="7"/>
        <v>4.5757575757575761</v>
      </c>
      <c r="R27" s="15">
        <f t="shared" si="8"/>
        <v>1.721763085399449</v>
      </c>
      <c r="S27" s="10" t="s">
        <v>97</v>
      </c>
    </row>
    <row r="28" spans="1:19" x14ac:dyDescent="0.25">
      <c r="A28" s="10" t="s">
        <v>229</v>
      </c>
      <c r="B28" s="10" t="s">
        <v>230</v>
      </c>
      <c r="C28" s="10" t="s">
        <v>226</v>
      </c>
      <c r="D28" s="11">
        <v>45476</v>
      </c>
      <c r="E28" s="12">
        <v>650000</v>
      </c>
      <c r="F28" s="10" t="s">
        <v>22</v>
      </c>
      <c r="G28" s="10" t="s">
        <v>23</v>
      </c>
      <c r="H28" s="12">
        <v>650000</v>
      </c>
      <c r="I28" s="12">
        <v>264770</v>
      </c>
      <c r="J28" s="13">
        <f t="shared" si="5"/>
        <v>40.733846153846152</v>
      </c>
      <c r="K28" s="12">
        <v>529541</v>
      </c>
      <c r="L28" s="12">
        <f>H28-447741</f>
        <v>202259</v>
      </c>
      <c r="M28" s="12">
        <v>81800</v>
      </c>
      <c r="N28" s="12">
        <f t="shared" si="9"/>
        <v>195000</v>
      </c>
      <c r="O28" s="14">
        <v>1</v>
      </c>
      <c r="P28" s="12">
        <f t="shared" si="6"/>
        <v>202259</v>
      </c>
      <c r="Q28" s="15">
        <f t="shared" si="7"/>
        <v>4.6432277318640951</v>
      </c>
      <c r="R28" s="15">
        <f t="shared" si="8"/>
        <v>1.8778696051423325</v>
      </c>
      <c r="S28" s="10" t="s">
        <v>97</v>
      </c>
    </row>
    <row r="29" spans="1:19" x14ac:dyDescent="0.25">
      <c r="A29" s="10" t="s">
        <v>231</v>
      </c>
      <c r="B29" s="10" t="s">
        <v>232</v>
      </c>
      <c r="C29" s="10" t="s">
        <v>226</v>
      </c>
      <c r="D29" s="11">
        <v>45105</v>
      </c>
      <c r="E29" s="12">
        <v>570000</v>
      </c>
      <c r="F29" s="10" t="s">
        <v>22</v>
      </c>
      <c r="G29" s="10" t="s">
        <v>23</v>
      </c>
      <c r="H29" s="12">
        <v>570000</v>
      </c>
      <c r="I29" s="12">
        <v>225620</v>
      </c>
      <c r="J29" s="13">
        <f t="shared" si="5"/>
        <v>39.582456140350871</v>
      </c>
      <c r="K29" s="12">
        <v>451242</v>
      </c>
      <c r="L29" s="12">
        <f>H29-369442</f>
        <v>200558</v>
      </c>
      <c r="M29" s="12">
        <v>81800</v>
      </c>
      <c r="N29" s="12">
        <f t="shared" si="9"/>
        <v>171000</v>
      </c>
      <c r="O29" s="14">
        <v>1</v>
      </c>
      <c r="P29" s="12">
        <f t="shared" si="6"/>
        <v>200558</v>
      </c>
      <c r="Q29" s="15">
        <f t="shared" si="7"/>
        <v>4.6041781450872357</v>
      </c>
      <c r="R29" s="15">
        <f t="shared" si="8"/>
        <v>1.8778696051423325</v>
      </c>
      <c r="S29" s="10" t="s">
        <v>97</v>
      </c>
    </row>
    <row r="30" spans="1:19" x14ac:dyDescent="0.25">
      <c r="A30" s="10" t="s">
        <v>233</v>
      </c>
      <c r="B30" s="10" t="s">
        <v>234</v>
      </c>
      <c r="C30" s="10" t="s">
        <v>226</v>
      </c>
      <c r="D30" s="11">
        <v>45278</v>
      </c>
      <c r="E30" s="12">
        <v>402500</v>
      </c>
      <c r="F30" s="10" t="s">
        <v>22</v>
      </c>
      <c r="G30" s="10" t="s">
        <v>23</v>
      </c>
      <c r="H30" s="12">
        <v>402500</v>
      </c>
      <c r="I30" s="12">
        <v>196640</v>
      </c>
      <c r="J30" s="13">
        <f t="shared" si="5"/>
        <v>48.854658385093167</v>
      </c>
      <c r="K30" s="12">
        <v>393286</v>
      </c>
      <c r="L30" s="12">
        <f>H30-311486</f>
        <v>91014</v>
      </c>
      <c r="M30" s="12">
        <v>81800</v>
      </c>
      <c r="N30" s="12">
        <f t="shared" si="9"/>
        <v>120750</v>
      </c>
      <c r="O30" s="14">
        <v>1</v>
      </c>
      <c r="P30" s="12">
        <f t="shared" si="6"/>
        <v>91014</v>
      </c>
      <c r="Q30" s="15">
        <f t="shared" si="7"/>
        <v>2.0893939393939394</v>
      </c>
      <c r="R30" s="15">
        <f t="shared" si="8"/>
        <v>1.8778696051423325</v>
      </c>
      <c r="S30" s="10" t="s">
        <v>97</v>
      </c>
    </row>
    <row r="31" spans="1:19" x14ac:dyDescent="0.25">
      <c r="A31" s="10" t="s">
        <v>235</v>
      </c>
      <c r="B31" s="10" t="s">
        <v>236</v>
      </c>
      <c r="C31" s="10" t="s">
        <v>226</v>
      </c>
      <c r="D31" s="11">
        <v>45385</v>
      </c>
      <c r="E31" s="12">
        <v>528500</v>
      </c>
      <c r="F31" s="10" t="s">
        <v>29</v>
      </c>
      <c r="G31" s="10" t="s">
        <v>23</v>
      </c>
      <c r="H31" s="12">
        <v>528500</v>
      </c>
      <c r="I31" s="12">
        <v>234690</v>
      </c>
      <c r="J31" s="13">
        <f t="shared" si="5"/>
        <v>44.406811731315045</v>
      </c>
      <c r="K31" s="12">
        <v>469372</v>
      </c>
      <c r="L31" s="12">
        <f>H31-387572</f>
        <v>140928</v>
      </c>
      <c r="M31" s="12">
        <v>81800</v>
      </c>
      <c r="N31" s="12">
        <f t="shared" si="9"/>
        <v>158550</v>
      </c>
      <c r="O31" s="14">
        <v>1</v>
      </c>
      <c r="P31" s="12">
        <f t="shared" si="6"/>
        <v>140928</v>
      </c>
      <c r="Q31" s="15">
        <f t="shared" si="7"/>
        <v>3.2352617079889807</v>
      </c>
      <c r="R31" s="15">
        <f t="shared" si="8"/>
        <v>1.8778696051423325</v>
      </c>
      <c r="S31" s="10" t="s">
        <v>97</v>
      </c>
    </row>
    <row r="32" spans="1:19" x14ac:dyDescent="0.25">
      <c r="A32" s="10" t="s">
        <v>237</v>
      </c>
      <c r="B32" s="10" t="s">
        <v>238</v>
      </c>
      <c r="C32" s="10" t="s">
        <v>226</v>
      </c>
      <c r="D32" s="11">
        <v>45128</v>
      </c>
      <c r="E32" s="12">
        <v>554000</v>
      </c>
      <c r="F32" s="10" t="s">
        <v>22</v>
      </c>
      <c r="G32" s="10" t="s">
        <v>23</v>
      </c>
      <c r="H32" s="12">
        <v>554000</v>
      </c>
      <c r="I32" s="12">
        <v>202800</v>
      </c>
      <c r="J32" s="13">
        <f t="shared" si="5"/>
        <v>36.60649819494585</v>
      </c>
      <c r="K32" s="12">
        <v>405606</v>
      </c>
      <c r="L32" s="12">
        <f>H32-330606</f>
        <v>223394</v>
      </c>
      <c r="M32" s="12">
        <v>75000</v>
      </c>
      <c r="N32" s="12">
        <f t="shared" si="9"/>
        <v>166200</v>
      </c>
      <c r="O32" s="14">
        <v>1</v>
      </c>
      <c r="P32" s="12">
        <f t="shared" si="6"/>
        <v>223394</v>
      </c>
      <c r="Q32" s="15">
        <f t="shared" si="7"/>
        <v>5.1284205693296601</v>
      </c>
      <c r="R32" s="15">
        <f t="shared" si="8"/>
        <v>1.721763085399449</v>
      </c>
      <c r="S32" s="10" t="s">
        <v>97</v>
      </c>
    </row>
    <row r="33" spans="1:19" x14ac:dyDescent="0.25">
      <c r="A33" s="10" t="s">
        <v>237</v>
      </c>
      <c r="B33" s="10" t="s">
        <v>238</v>
      </c>
      <c r="C33" s="10" t="s">
        <v>226</v>
      </c>
      <c r="D33" s="11">
        <v>45476</v>
      </c>
      <c r="E33" s="12">
        <v>630000</v>
      </c>
      <c r="F33" s="10" t="s">
        <v>22</v>
      </c>
      <c r="G33" s="10" t="s">
        <v>23</v>
      </c>
      <c r="H33" s="12">
        <v>630000</v>
      </c>
      <c r="I33" s="12">
        <v>202800</v>
      </c>
      <c r="J33" s="13">
        <f t="shared" si="5"/>
        <v>32.19047619047619</v>
      </c>
      <c r="K33" s="12">
        <v>405606</v>
      </c>
      <c r="L33" s="12">
        <f>H33-330606</f>
        <v>299394</v>
      </c>
      <c r="M33" s="12">
        <v>75000</v>
      </c>
      <c r="N33" s="12">
        <f t="shared" si="9"/>
        <v>189000</v>
      </c>
      <c r="O33" s="14">
        <v>1</v>
      </c>
      <c r="P33" s="12">
        <f t="shared" si="6"/>
        <v>299394</v>
      </c>
      <c r="Q33" s="15">
        <f t="shared" si="7"/>
        <v>6.8731404958677684</v>
      </c>
      <c r="R33" s="15">
        <f t="shared" si="8"/>
        <v>1.721763085399449</v>
      </c>
      <c r="S33" s="10" t="s">
        <v>97</v>
      </c>
    </row>
    <row r="34" spans="1:19" x14ac:dyDescent="0.25">
      <c r="A34" s="10" t="s">
        <v>239</v>
      </c>
      <c r="B34" s="10" t="s">
        <v>240</v>
      </c>
      <c r="C34" s="10" t="s">
        <v>226</v>
      </c>
      <c r="D34" s="11">
        <v>45093</v>
      </c>
      <c r="E34" s="12">
        <v>430000</v>
      </c>
      <c r="F34" s="10" t="s">
        <v>29</v>
      </c>
      <c r="G34" s="10" t="s">
        <v>23</v>
      </c>
      <c r="H34" s="12">
        <v>430000</v>
      </c>
      <c r="I34" s="12">
        <v>218480</v>
      </c>
      <c r="J34" s="13">
        <f t="shared" si="5"/>
        <v>50.809302325581399</v>
      </c>
      <c r="K34" s="12">
        <v>436952</v>
      </c>
      <c r="L34" s="12">
        <f>H34-361952</f>
        <v>68048</v>
      </c>
      <c r="M34" s="12">
        <v>75000</v>
      </c>
      <c r="N34" s="12">
        <f t="shared" si="9"/>
        <v>129000</v>
      </c>
      <c r="O34" s="14">
        <v>1</v>
      </c>
      <c r="P34" s="12">
        <f t="shared" si="6"/>
        <v>68048</v>
      </c>
      <c r="Q34" s="15">
        <f t="shared" si="7"/>
        <v>1.5621671258034895</v>
      </c>
      <c r="R34" s="15">
        <f t="shared" si="8"/>
        <v>1.721763085399449</v>
      </c>
      <c r="S34" s="10" t="s">
        <v>97</v>
      </c>
    </row>
    <row r="35" spans="1:19" x14ac:dyDescent="0.25">
      <c r="A35" s="10" t="s">
        <v>241</v>
      </c>
      <c r="B35" s="10" t="s">
        <v>242</v>
      </c>
      <c r="C35" s="10" t="s">
        <v>226</v>
      </c>
      <c r="D35" s="11">
        <v>45099</v>
      </c>
      <c r="E35" s="12">
        <v>435000</v>
      </c>
      <c r="F35" s="10" t="s">
        <v>22</v>
      </c>
      <c r="G35" s="10" t="s">
        <v>23</v>
      </c>
      <c r="H35" s="12">
        <v>435000</v>
      </c>
      <c r="I35" s="12">
        <v>227030</v>
      </c>
      <c r="J35" s="13">
        <f t="shared" si="5"/>
        <v>52.190804597701145</v>
      </c>
      <c r="K35" s="12">
        <v>454052</v>
      </c>
      <c r="L35" s="12">
        <f>H35-372252</f>
        <v>62748</v>
      </c>
      <c r="M35" s="12">
        <v>81800</v>
      </c>
      <c r="N35" s="12">
        <f>E35*0.3</f>
        <v>130500</v>
      </c>
      <c r="O35" s="14">
        <v>1</v>
      </c>
      <c r="P35" s="12">
        <f t="shared" si="6"/>
        <v>62748</v>
      </c>
      <c r="Q35" s="15">
        <f t="shared" si="7"/>
        <v>1.4404958677685951</v>
      </c>
      <c r="R35" s="15">
        <f t="shared" si="8"/>
        <v>1.8778696051423325</v>
      </c>
      <c r="S35" s="10" t="s">
        <v>97</v>
      </c>
    </row>
    <row r="36" spans="1:19" x14ac:dyDescent="0.25">
      <c r="A36" s="10" t="s">
        <v>243</v>
      </c>
      <c r="B36" s="10" t="s">
        <v>244</v>
      </c>
      <c r="C36" s="10" t="s">
        <v>226</v>
      </c>
      <c r="D36" s="11">
        <v>45303</v>
      </c>
      <c r="E36" s="12">
        <v>650000</v>
      </c>
      <c r="F36" s="10" t="s">
        <v>29</v>
      </c>
      <c r="G36" s="10" t="s">
        <v>23</v>
      </c>
      <c r="H36" s="12">
        <v>650000</v>
      </c>
      <c r="I36" s="12">
        <v>236450</v>
      </c>
      <c r="J36" s="13">
        <f t="shared" si="5"/>
        <v>36.376923076923077</v>
      </c>
      <c r="K36" s="12">
        <v>472908</v>
      </c>
      <c r="L36" s="12">
        <f>H36-391108</f>
        <v>258892</v>
      </c>
      <c r="M36" s="12">
        <v>81800</v>
      </c>
      <c r="N36" s="12">
        <f t="shared" si="9"/>
        <v>195000</v>
      </c>
      <c r="O36" s="14">
        <v>1</v>
      </c>
      <c r="P36" s="12">
        <f t="shared" si="6"/>
        <v>258892</v>
      </c>
      <c r="Q36" s="15">
        <f t="shared" si="7"/>
        <v>5.943342516069789</v>
      </c>
      <c r="R36" s="15">
        <f t="shared" si="8"/>
        <v>1.8778696051423325</v>
      </c>
      <c r="S36" s="10" t="s">
        <v>97</v>
      </c>
    </row>
    <row r="37" spans="1:19" x14ac:dyDescent="0.25">
      <c r="A37" s="10" t="s">
        <v>245</v>
      </c>
      <c r="B37" s="10" t="s">
        <v>246</v>
      </c>
      <c r="C37" s="10" t="s">
        <v>226</v>
      </c>
      <c r="D37" s="11">
        <v>45611</v>
      </c>
      <c r="E37" s="12">
        <v>452000</v>
      </c>
      <c r="F37" s="10" t="s">
        <v>22</v>
      </c>
      <c r="G37" s="10" t="s">
        <v>23</v>
      </c>
      <c r="H37" s="12">
        <v>452000</v>
      </c>
      <c r="I37" s="12">
        <v>184230</v>
      </c>
      <c r="J37" s="13">
        <f t="shared" si="5"/>
        <v>40.758849557522126</v>
      </c>
      <c r="K37" s="12">
        <v>368453</v>
      </c>
      <c r="L37" s="12">
        <f>H37-293453</f>
        <v>158547</v>
      </c>
      <c r="M37" s="12">
        <v>75000</v>
      </c>
      <c r="N37" s="12">
        <f t="shared" si="9"/>
        <v>135600</v>
      </c>
      <c r="O37" s="14">
        <v>1</v>
      </c>
      <c r="P37" s="12">
        <f t="shared" si="6"/>
        <v>158547</v>
      </c>
      <c r="Q37" s="15">
        <f t="shared" si="7"/>
        <v>3.6397382920110193</v>
      </c>
      <c r="R37" s="15">
        <f t="shared" si="8"/>
        <v>1.721763085399449</v>
      </c>
      <c r="S37" s="10" t="s">
        <v>97</v>
      </c>
    </row>
    <row r="38" spans="1:19" x14ac:dyDescent="0.25">
      <c r="A38" s="10" t="s">
        <v>247</v>
      </c>
      <c r="B38" s="10" t="s">
        <v>248</v>
      </c>
      <c r="C38" s="10" t="s">
        <v>226</v>
      </c>
      <c r="D38" s="11">
        <v>45400</v>
      </c>
      <c r="E38" s="12">
        <v>500000</v>
      </c>
      <c r="F38" s="10" t="s">
        <v>29</v>
      </c>
      <c r="G38" s="10" t="s">
        <v>23</v>
      </c>
      <c r="H38" s="12">
        <v>500000</v>
      </c>
      <c r="I38" s="12">
        <v>210830</v>
      </c>
      <c r="J38" s="13">
        <f t="shared" si="5"/>
        <v>42.165999999999997</v>
      </c>
      <c r="K38" s="12">
        <v>421651</v>
      </c>
      <c r="L38" s="12">
        <f>H38-339851</f>
        <v>160149</v>
      </c>
      <c r="M38" s="12">
        <v>81800</v>
      </c>
      <c r="N38" s="12">
        <f t="shared" si="9"/>
        <v>150000</v>
      </c>
      <c r="O38" s="14">
        <v>1</v>
      </c>
      <c r="P38" s="12">
        <f t="shared" si="6"/>
        <v>160149</v>
      </c>
      <c r="Q38" s="15">
        <f t="shared" si="7"/>
        <v>3.6765151515151517</v>
      </c>
      <c r="R38" s="15">
        <f t="shared" si="8"/>
        <v>1.8778696051423325</v>
      </c>
      <c r="S38" s="10" t="s">
        <v>97</v>
      </c>
    </row>
    <row r="39" spans="1:19" x14ac:dyDescent="0.25">
      <c r="A39" s="10" t="s">
        <v>249</v>
      </c>
      <c r="B39" s="10" t="s">
        <v>250</v>
      </c>
      <c r="C39" s="10" t="s">
        <v>226</v>
      </c>
      <c r="D39" s="11">
        <v>45429</v>
      </c>
      <c r="E39" s="12">
        <v>375000</v>
      </c>
      <c r="F39" s="10" t="s">
        <v>29</v>
      </c>
      <c r="G39" s="10" t="s">
        <v>23</v>
      </c>
      <c r="H39" s="12">
        <v>375000</v>
      </c>
      <c r="I39" s="12">
        <v>226370</v>
      </c>
      <c r="J39" s="13">
        <f t="shared" si="5"/>
        <v>60.365333333333339</v>
      </c>
      <c r="K39" s="12">
        <v>452748</v>
      </c>
      <c r="L39" s="12">
        <f>H39-370948</f>
        <v>4052</v>
      </c>
      <c r="M39" s="12">
        <v>81800</v>
      </c>
      <c r="N39" s="12">
        <f t="shared" si="9"/>
        <v>112500</v>
      </c>
      <c r="O39" s="14">
        <v>1</v>
      </c>
      <c r="P39" s="12">
        <f t="shared" si="6"/>
        <v>4052</v>
      </c>
      <c r="Q39" s="15">
        <f t="shared" si="7"/>
        <v>9.302112029384757E-2</v>
      </c>
      <c r="R39" s="15">
        <f t="shared" si="8"/>
        <v>1.8778696051423325</v>
      </c>
      <c r="S39" s="10" t="s">
        <v>97</v>
      </c>
    </row>
    <row r="40" spans="1:19" x14ac:dyDescent="0.25">
      <c r="A40" s="10" t="s">
        <v>251</v>
      </c>
      <c r="B40" s="10" t="s">
        <v>252</v>
      </c>
      <c r="C40" s="10" t="s">
        <v>226</v>
      </c>
      <c r="D40" s="11">
        <v>45370</v>
      </c>
      <c r="E40" s="12">
        <v>420000</v>
      </c>
      <c r="F40" s="10" t="s">
        <v>22</v>
      </c>
      <c r="G40" s="10" t="s">
        <v>23</v>
      </c>
      <c r="H40" s="12">
        <v>420000</v>
      </c>
      <c r="I40" s="12">
        <v>191260</v>
      </c>
      <c r="J40" s="13">
        <f t="shared" si="5"/>
        <v>45.538095238095238</v>
      </c>
      <c r="K40" s="12">
        <v>382514</v>
      </c>
      <c r="L40" s="12">
        <f>H40-300714</f>
        <v>119286</v>
      </c>
      <c r="M40" s="12">
        <v>81800</v>
      </c>
      <c r="N40" s="12">
        <f t="shared" si="9"/>
        <v>126000</v>
      </c>
      <c r="O40" s="14">
        <v>1</v>
      </c>
      <c r="P40" s="12">
        <f t="shared" si="6"/>
        <v>119286</v>
      </c>
      <c r="Q40" s="15">
        <f t="shared" si="7"/>
        <v>2.7384297520661156</v>
      </c>
      <c r="R40" s="15">
        <f t="shared" si="8"/>
        <v>1.8778696051423325</v>
      </c>
      <c r="S40" s="10" t="s">
        <v>97</v>
      </c>
    </row>
    <row r="41" spans="1:19" x14ac:dyDescent="0.25">
      <c r="A41" s="10" t="s">
        <v>253</v>
      </c>
      <c r="B41" s="10" t="s">
        <v>254</v>
      </c>
      <c r="C41" s="10" t="s">
        <v>226</v>
      </c>
      <c r="D41" s="11">
        <v>45029</v>
      </c>
      <c r="E41" s="12">
        <v>465000</v>
      </c>
      <c r="F41" s="10" t="s">
        <v>29</v>
      </c>
      <c r="G41" s="10" t="s">
        <v>23</v>
      </c>
      <c r="H41" s="12">
        <v>465000</v>
      </c>
      <c r="I41" s="12">
        <v>224320</v>
      </c>
      <c r="J41" s="13">
        <f t="shared" si="5"/>
        <v>48.240860215053765</v>
      </c>
      <c r="K41" s="12">
        <v>448633</v>
      </c>
      <c r="L41" s="12">
        <f>H41-366833</f>
        <v>98167</v>
      </c>
      <c r="M41" s="12">
        <v>81800</v>
      </c>
      <c r="N41" s="12">
        <f t="shared" si="9"/>
        <v>139500</v>
      </c>
      <c r="O41" s="14">
        <v>1</v>
      </c>
      <c r="P41" s="12">
        <f t="shared" si="6"/>
        <v>98167</v>
      </c>
      <c r="Q41" s="15">
        <f t="shared" si="7"/>
        <v>2.2536042240587695</v>
      </c>
      <c r="R41" s="15">
        <f t="shared" si="8"/>
        <v>1.8778696051423325</v>
      </c>
      <c r="S41" s="10" t="s">
        <v>97</v>
      </c>
    </row>
    <row r="42" spans="1:19" x14ac:dyDescent="0.25">
      <c r="A42" s="10" t="s">
        <v>255</v>
      </c>
      <c r="B42" s="10" t="s">
        <v>256</v>
      </c>
      <c r="C42" s="10" t="s">
        <v>226</v>
      </c>
      <c r="D42" s="11">
        <v>45505</v>
      </c>
      <c r="E42" s="12">
        <v>600000</v>
      </c>
      <c r="F42" s="10" t="s">
        <v>29</v>
      </c>
      <c r="G42" s="10" t="s">
        <v>23</v>
      </c>
      <c r="H42" s="12">
        <v>600000</v>
      </c>
      <c r="I42" s="12">
        <v>215290</v>
      </c>
      <c r="J42" s="13">
        <f t="shared" si="5"/>
        <v>35.881666666666668</v>
      </c>
      <c r="K42" s="12">
        <v>430571</v>
      </c>
      <c r="L42" s="12">
        <f>H42-348771</f>
        <v>251229</v>
      </c>
      <c r="M42" s="12">
        <v>81800</v>
      </c>
      <c r="N42" s="12">
        <f t="shared" si="9"/>
        <v>180000</v>
      </c>
      <c r="O42" s="14">
        <v>1</v>
      </c>
      <c r="P42" s="12">
        <f t="shared" si="6"/>
        <v>251229</v>
      </c>
      <c r="Q42" s="15">
        <f t="shared" si="7"/>
        <v>5.7674242424242426</v>
      </c>
      <c r="R42" s="15">
        <f t="shared" si="8"/>
        <v>1.8778696051423325</v>
      </c>
      <c r="S42" s="10" t="s">
        <v>97</v>
      </c>
    </row>
    <row r="43" spans="1:19" x14ac:dyDescent="0.25">
      <c r="A43" s="10" t="s">
        <v>257</v>
      </c>
      <c r="B43" s="10" t="s">
        <v>258</v>
      </c>
      <c r="C43" s="10" t="s">
        <v>226</v>
      </c>
      <c r="D43" s="11">
        <v>45503</v>
      </c>
      <c r="E43" s="12">
        <v>659500</v>
      </c>
      <c r="F43" s="10" t="s">
        <v>29</v>
      </c>
      <c r="G43" s="10" t="s">
        <v>23</v>
      </c>
      <c r="H43" s="12">
        <v>659500</v>
      </c>
      <c r="I43" s="12">
        <v>223080</v>
      </c>
      <c r="J43" s="13">
        <f t="shared" si="5"/>
        <v>33.825625473843822</v>
      </c>
      <c r="K43" s="12">
        <v>446164</v>
      </c>
      <c r="L43" s="12">
        <f>H43-364364</f>
        <v>295136</v>
      </c>
      <c r="M43" s="12">
        <v>81800</v>
      </c>
      <c r="N43" s="12">
        <f t="shared" si="9"/>
        <v>197850</v>
      </c>
      <c r="O43" s="14">
        <v>1</v>
      </c>
      <c r="P43" s="12">
        <f t="shared" si="6"/>
        <v>295136</v>
      </c>
      <c r="Q43" s="15">
        <f t="shared" si="7"/>
        <v>6.7753902662993575</v>
      </c>
      <c r="R43" s="15">
        <f t="shared" si="8"/>
        <v>1.8778696051423325</v>
      </c>
      <c r="S43" s="10" t="s">
        <v>97</v>
      </c>
    </row>
    <row r="44" spans="1:19" x14ac:dyDescent="0.25">
      <c r="A44" s="10" t="s">
        <v>259</v>
      </c>
      <c r="B44" s="10" t="s">
        <v>260</v>
      </c>
      <c r="C44" s="10" t="s">
        <v>226</v>
      </c>
      <c r="D44" s="11">
        <v>45538</v>
      </c>
      <c r="E44" s="12">
        <v>680000</v>
      </c>
      <c r="F44" s="10" t="s">
        <v>22</v>
      </c>
      <c r="G44" s="10" t="s">
        <v>23</v>
      </c>
      <c r="H44" s="12">
        <v>680000</v>
      </c>
      <c r="I44" s="12">
        <v>258300</v>
      </c>
      <c r="J44" s="13">
        <f t="shared" si="5"/>
        <v>37.985294117647058</v>
      </c>
      <c r="K44" s="12">
        <v>516590</v>
      </c>
      <c r="L44" s="12">
        <f>H44-441590</f>
        <v>238410</v>
      </c>
      <c r="M44" s="12">
        <v>75000</v>
      </c>
      <c r="N44" s="12">
        <f t="shared" si="9"/>
        <v>204000</v>
      </c>
      <c r="O44" s="14">
        <v>1</v>
      </c>
      <c r="P44" s="12">
        <f t="shared" si="6"/>
        <v>238410</v>
      </c>
      <c r="Q44" s="15">
        <f t="shared" si="7"/>
        <v>5.473140495867769</v>
      </c>
      <c r="R44" s="15">
        <f t="shared" si="8"/>
        <v>1.721763085399449</v>
      </c>
      <c r="S44" s="10" t="s">
        <v>97</v>
      </c>
    </row>
    <row r="45" spans="1:19" x14ac:dyDescent="0.25">
      <c r="A45" s="10" t="s">
        <v>261</v>
      </c>
      <c r="B45" s="10" t="s">
        <v>262</v>
      </c>
      <c r="C45" s="10" t="s">
        <v>226</v>
      </c>
      <c r="D45" s="11">
        <v>45547</v>
      </c>
      <c r="E45" s="12">
        <v>530000</v>
      </c>
      <c r="F45" s="10" t="s">
        <v>22</v>
      </c>
      <c r="G45" s="10" t="s">
        <v>23</v>
      </c>
      <c r="H45" s="12">
        <v>530000</v>
      </c>
      <c r="I45" s="12">
        <v>239120</v>
      </c>
      <c r="J45" s="13">
        <f t="shared" si="5"/>
        <v>45.116981132075473</v>
      </c>
      <c r="K45" s="12">
        <v>478237</v>
      </c>
      <c r="L45" s="12">
        <f>H45-366637</f>
        <v>163363</v>
      </c>
      <c r="M45" s="12">
        <v>111600</v>
      </c>
      <c r="N45" s="12">
        <f t="shared" si="9"/>
        <v>159000</v>
      </c>
      <c r="O45" s="14">
        <v>1</v>
      </c>
      <c r="P45" s="12">
        <f t="shared" si="6"/>
        <v>163363</v>
      </c>
      <c r="Q45" s="15">
        <f t="shared" si="7"/>
        <v>3.7502984389348026</v>
      </c>
      <c r="R45" s="15">
        <f t="shared" si="8"/>
        <v>2.5619834710743801</v>
      </c>
      <c r="S45" s="10" t="s">
        <v>97</v>
      </c>
    </row>
    <row r="46" spans="1:19" x14ac:dyDescent="0.25">
      <c r="A46" s="10" t="s">
        <v>263</v>
      </c>
      <c r="B46" s="10" t="s">
        <v>264</v>
      </c>
      <c r="C46" s="10" t="s">
        <v>226</v>
      </c>
      <c r="D46" s="11">
        <v>45569</v>
      </c>
      <c r="E46" s="12">
        <v>900000</v>
      </c>
      <c r="F46" s="10" t="s">
        <v>22</v>
      </c>
      <c r="G46" s="10" t="s">
        <v>23</v>
      </c>
      <c r="H46" s="12">
        <v>900000</v>
      </c>
      <c r="I46" s="12">
        <v>337640</v>
      </c>
      <c r="J46" s="13">
        <f t="shared" si="5"/>
        <v>37.515555555555558</v>
      </c>
      <c r="K46" s="12">
        <v>675280</v>
      </c>
      <c r="L46" s="12">
        <f>H46-580480</f>
        <v>319520</v>
      </c>
      <c r="M46" s="12">
        <v>94800</v>
      </c>
      <c r="N46" s="12">
        <f t="shared" si="9"/>
        <v>270000</v>
      </c>
      <c r="O46" s="14">
        <v>1</v>
      </c>
      <c r="P46" s="12">
        <f t="shared" si="6"/>
        <v>319520</v>
      </c>
      <c r="Q46" s="15">
        <f t="shared" si="7"/>
        <v>7.3351698806244263</v>
      </c>
      <c r="R46" s="15">
        <f t="shared" si="8"/>
        <v>2.1763085399449036</v>
      </c>
      <c r="S46" s="10" t="s">
        <v>97</v>
      </c>
    </row>
    <row r="47" spans="1:19" x14ac:dyDescent="0.25">
      <c r="A47" s="10" t="s">
        <v>265</v>
      </c>
      <c r="B47" s="10" t="s">
        <v>266</v>
      </c>
      <c r="C47" s="10" t="s">
        <v>226</v>
      </c>
      <c r="D47" s="11">
        <v>45131</v>
      </c>
      <c r="E47" s="12">
        <v>897900</v>
      </c>
      <c r="F47" s="10" t="s">
        <v>29</v>
      </c>
      <c r="G47" s="10" t="s">
        <v>23</v>
      </c>
      <c r="H47" s="12">
        <v>897900</v>
      </c>
      <c r="I47" s="12">
        <v>376480</v>
      </c>
      <c r="J47" s="13">
        <f t="shared" si="5"/>
        <v>41.928945316850431</v>
      </c>
      <c r="K47" s="12">
        <v>752951</v>
      </c>
      <c r="L47" s="12">
        <f>H47-641351</f>
        <v>256549</v>
      </c>
      <c r="M47" s="12">
        <v>111600</v>
      </c>
      <c r="N47" s="12">
        <f t="shared" si="9"/>
        <v>269370</v>
      </c>
      <c r="O47" s="14">
        <v>1</v>
      </c>
      <c r="P47" s="12">
        <f t="shared" si="6"/>
        <v>256549</v>
      </c>
      <c r="Q47" s="15">
        <f t="shared" si="7"/>
        <v>5.8895546372819103</v>
      </c>
      <c r="R47" s="15">
        <f t="shared" si="8"/>
        <v>2.5619834710743801</v>
      </c>
      <c r="S47" s="10" t="s">
        <v>97</v>
      </c>
    </row>
    <row r="48" spans="1:19" x14ac:dyDescent="0.25">
      <c r="A48" s="10" t="s">
        <v>267</v>
      </c>
      <c r="B48" s="10" t="s">
        <v>268</v>
      </c>
      <c r="C48" s="10" t="s">
        <v>226</v>
      </c>
      <c r="D48" s="11">
        <v>45665</v>
      </c>
      <c r="E48" s="12">
        <v>859000</v>
      </c>
      <c r="F48" s="10" t="s">
        <v>22</v>
      </c>
      <c r="G48" s="10" t="s">
        <v>23</v>
      </c>
      <c r="H48" s="12">
        <v>859000</v>
      </c>
      <c r="I48" s="12">
        <v>325260</v>
      </c>
      <c r="J48" s="13">
        <f t="shared" si="5"/>
        <v>37.864959254947614</v>
      </c>
      <c r="K48" s="12">
        <v>650520</v>
      </c>
      <c r="L48" s="12">
        <f>H48-515520</f>
        <v>343480</v>
      </c>
      <c r="M48" s="12">
        <v>135000</v>
      </c>
      <c r="N48" s="12">
        <f t="shared" si="9"/>
        <v>257700</v>
      </c>
      <c r="O48" s="14">
        <v>1</v>
      </c>
      <c r="P48" s="12">
        <f t="shared" si="6"/>
        <v>343480</v>
      </c>
      <c r="Q48" s="15">
        <f t="shared" si="7"/>
        <v>7.8852157943067036</v>
      </c>
      <c r="R48" s="15">
        <f t="shared" si="8"/>
        <v>3.0991735537190084</v>
      </c>
      <c r="S48" s="10" t="s">
        <v>97</v>
      </c>
    </row>
    <row r="49" spans="1:19" x14ac:dyDescent="0.25">
      <c r="A49" s="10" t="s">
        <v>269</v>
      </c>
      <c r="B49" s="10" t="s">
        <v>270</v>
      </c>
      <c r="C49" s="10" t="s">
        <v>226</v>
      </c>
      <c r="D49" s="11">
        <v>45705</v>
      </c>
      <c r="E49" s="12">
        <v>785000</v>
      </c>
      <c r="F49" s="10" t="s">
        <v>22</v>
      </c>
      <c r="G49" s="10" t="s">
        <v>23</v>
      </c>
      <c r="H49" s="12">
        <v>785000</v>
      </c>
      <c r="I49" s="12">
        <v>332390</v>
      </c>
      <c r="J49" s="13">
        <f t="shared" si="5"/>
        <v>42.342675159235668</v>
      </c>
      <c r="K49" s="12">
        <v>664781</v>
      </c>
      <c r="L49" s="12">
        <f>H49-529781</f>
        <v>255219</v>
      </c>
      <c r="M49" s="12">
        <v>135000</v>
      </c>
      <c r="N49" s="12">
        <f t="shared" si="9"/>
        <v>235500</v>
      </c>
      <c r="O49" s="14">
        <v>1</v>
      </c>
      <c r="P49" s="12">
        <f t="shared" si="6"/>
        <v>255219</v>
      </c>
      <c r="Q49" s="15">
        <f t="shared" si="7"/>
        <v>5.8590220385674927</v>
      </c>
      <c r="R49" s="15">
        <f t="shared" si="8"/>
        <v>3.0991735537190084</v>
      </c>
      <c r="S49" s="10" t="s">
        <v>97</v>
      </c>
    </row>
    <row r="50" spans="1:19" x14ac:dyDescent="0.25">
      <c r="A50" s="10" t="s">
        <v>271</v>
      </c>
      <c r="B50" s="10" t="s">
        <v>272</v>
      </c>
      <c r="C50" s="10" t="s">
        <v>226</v>
      </c>
      <c r="D50" s="11">
        <v>45369</v>
      </c>
      <c r="E50" s="12">
        <v>615000</v>
      </c>
      <c r="F50" s="10" t="s">
        <v>29</v>
      </c>
      <c r="G50" s="10" t="s">
        <v>23</v>
      </c>
      <c r="H50" s="12">
        <v>615000</v>
      </c>
      <c r="I50" s="12">
        <v>279430</v>
      </c>
      <c r="J50" s="13">
        <f t="shared" si="5"/>
        <v>45.435772357723572</v>
      </c>
      <c r="K50" s="12">
        <v>558856</v>
      </c>
      <c r="L50" s="12">
        <f>H50-461156</f>
        <v>153844</v>
      </c>
      <c r="M50" s="12">
        <v>97700</v>
      </c>
      <c r="N50" s="12">
        <f t="shared" si="9"/>
        <v>184500</v>
      </c>
      <c r="O50" s="14">
        <v>1</v>
      </c>
      <c r="P50" s="12">
        <f t="shared" si="6"/>
        <v>153844</v>
      </c>
      <c r="Q50" s="15">
        <f t="shared" si="7"/>
        <v>3.5317722681359043</v>
      </c>
      <c r="R50" s="15">
        <f t="shared" si="8"/>
        <v>2.2428833792470155</v>
      </c>
      <c r="S50" s="10" t="s">
        <v>97</v>
      </c>
    </row>
    <row r="51" spans="1:19" x14ac:dyDescent="0.25">
      <c r="A51" s="10" t="s">
        <v>273</v>
      </c>
      <c r="B51" s="10" t="s">
        <v>274</v>
      </c>
      <c r="C51" s="10" t="s">
        <v>226</v>
      </c>
      <c r="D51" s="11">
        <v>45721</v>
      </c>
      <c r="E51" s="12">
        <v>614611</v>
      </c>
      <c r="F51" s="10" t="s">
        <v>22</v>
      </c>
      <c r="G51" s="10" t="s">
        <v>23</v>
      </c>
      <c r="H51" s="12">
        <v>614611</v>
      </c>
      <c r="I51" s="12">
        <v>328330</v>
      </c>
      <c r="J51" s="13">
        <f t="shared" si="5"/>
        <v>53.420781600068992</v>
      </c>
      <c r="K51" s="12">
        <v>656656</v>
      </c>
      <c r="L51" s="12">
        <f>H51-521656</f>
        <v>92955</v>
      </c>
      <c r="M51" s="12">
        <v>135000</v>
      </c>
      <c r="N51" s="12">
        <f t="shared" si="9"/>
        <v>184383.3</v>
      </c>
      <c r="O51" s="14">
        <v>1</v>
      </c>
      <c r="P51" s="12">
        <f t="shared" si="6"/>
        <v>92955</v>
      </c>
      <c r="Q51" s="15">
        <f t="shared" si="7"/>
        <v>2.1339531680440773</v>
      </c>
      <c r="R51" s="15">
        <f t="shared" si="8"/>
        <v>3.0991735537190084</v>
      </c>
      <c r="S51" s="10" t="s">
        <v>97</v>
      </c>
    </row>
    <row r="52" spans="1:19" x14ac:dyDescent="0.25">
      <c r="A52" s="10" t="s">
        <v>275</v>
      </c>
      <c r="B52" s="10" t="s">
        <v>276</v>
      </c>
      <c r="C52" s="10" t="s">
        <v>226</v>
      </c>
      <c r="D52" s="11">
        <v>45730</v>
      </c>
      <c r="E52" s="12">
        <v>650750</v>
      </c>
      <c r="F52" s="10" t="s">
        <v>29</v>
      </c>
      <c r="G52" s="10" t="s">
        <v>23</v>
      </c>
      <c r="H52" s="12">
        <v>650750</v>
      </c>
      <c r="I52" s="12">
        <v>330140</v>
      </c>
      <c r="J52" s="13">
        <f t="shared" si="5"/>
        <v>50.732232039953892</v>
      </c>
      <c r="K52" s="12">
        <v>660276</v>
      </c>
      <c r="L52" s="12">
        <f>H52-525276</f>
        <v>125474</v>
      </c>
      <c r="M52" s="12">
        <v>135000</v>
      </c>
      <c r="N52" s="12">
        <f t="shared" si="9"/>
        <v>195225</v>
      </c>
      <c r="O52" s="14">
        <v>1</v>
      </c>
      <c r="P52" s="12">
        <f t="shared" si="6"/>
        <v>125474</v>
      </c>
      <c r="Q52" s="15">
        <f t="shared" si="7"/>
        <v>2.8804866850321398</v>
      </c>
      <c r="R52" s="15">
        <f t="shared" si="8"/>
        <v>3.0991735537190084</v>
      </c>
      <c r="S52" s="10" t="s">
        <v>97</v>
      </c>
    </row>
    <row r="53" spans="1:19" x14ac:dyDescent="0.25">
      <c r="A53" s="10" t="s">
        <v>277</v>
      </c>
      <c r="B53" s="10" t="s">
        <v>278</v>
      </c>
      <c r="C53" s="10" t="s">
        <v>226</v>
      </c>
      <c r="D53" s="11">
        <v>45068</v>
      </c>
      <c r="E53" s="12">
        <v>700000</v>
      </c>
      <c r="F53" s="10" t="s">
        <v>29</v>
      </c>
      <c r="G53" s="10" t="s">
        <v>23</v>
      </c>
      <c r="H53" s="12">
        <v>700000</v>
      </c>
      <c r="I53" s="12">
        <v>379270</v>
      </c>
      <c r="J53" s="13">
        <f t="shared" si="5"/>
        <v>54.181428571428569</v>
      </c>
      <c r="K53" s="12">
        <v>758549</v>
      </c>
      <c r="L53" s="12">
        <f>H53-623549</f>
        <v>76451</v>
      </c>
      <c r="M53" s="12">
        <v>135000</v>
      </c>
      <c r="N53" s="12">
        <f t="shared" si="9"/>
        <v>210000</v>
      </c>
      <c r="O53" s="14">
        <v>1</v>
      </c>
      <c r="P53" s="12">
        <f t="shared" si="6"/>
        <v>76451</v>
      </c>
      <c r="Q53" s="15">
        <f t="shared" si="7"/>
        <v>1.7550734618916437</v>
      </c>
      <c r="R53" s="15">
        <f t="shared" si="8"/>
        <v>3.0991735537190084</v>
      </c>
      <c r="S53" s="10" t="s">
        <v>97</v>
      </c>
    </row>
    <row r="54" spans="1:19" x14ac:dyDescent="0.25">
      <c r="A54" s="10" t="s">
        <v>279</v>
      </c>
      <c r="B54" s="10" t="s">
        <v>280</v>
      </c>
      <c r="C54" s="10" t="s">
        <v>226</v>
      </c>
      <c r="D54" s="11">
        <v>45321</v>
      </c>
      <c r="E54" s="12">
        <v>773000</v>
      </c>
      <c r="F54" s="10" t="s">
        <v>22</v>
      </c>
      <c r="G54" s="10" t="s">
        <v>23</v>
      </c>
      <c r="H54" s="12">
        <v>773000</v>
      </c>
      <c r="I54" s="12">
        <v>366530</v>
      </c>
      <c r="J54" s="13">
        <f t="shared" si="5"/>
        <v>47.416558861578267</v>
      </c>
      <c r="K54" s="12">
        <v>733053</v>
      </c>
      <c r="L54" s="12">
        <f>H54-598053</f>
        <v>174947</v>
      </c>
      <c r="M54" s="12">
        <v>135000</v>
      </c>
      <c r="N54" s="12">
        <f t="shared" si="9"/>
        <v>231900</v>
      </c>
      <c r="O54" s="14">
        <v>1</v>
      </c>
      <c r="P54" s="12">
        <f t="shared" si="6"/>
        <v>174947</v>
      </c>
      <c r="Q54" s="15">
        <f t="shared" si="7"/>
        <v>4.016230486685032</v>
      </c>
      <c r="R54" s="15">
        <f t="shared" si="8"/>
        <v>3.0991735537190084</v>
      </c>
      <c r="S54" s="10" t="s">
        <v>97</v>
      </c>
    </row>
    <row r="55" spans="1:19" x14ac:dyDescent="0.25">
      <c r="A55" s="10" t="s">
        <v>281</v>
      </c>
      <c r="B55" s="10" t="s">
        <v>282</v>
      </c>
      <c r="C55" s="10" t="s">
        <v>226</v>
      </c>
      <c r="D55" s="11">
        <v>45387</v>
      </c>
      <c r="E55" s="12">
        <v>549900</v>
      </c>
      <c r="F55" s="10" t="s">
        <v>22</v>
      </c>
      <c r="G55" s="10" t="s">
        <v>23</v>
      </c>
      <c r="H55" s="12">
        <v>549900</v>
      </c>
      <c r="I55" s="12">
        <v>311860</v>
      </c>
      <c r="J55" s="13">
        <f t="shared" si="5"/>
        <v>56.712129478086922</v>
      </c>
      <c r="K55" s="12">
        <v>623728</v>
      </c>
      <c r="L55" s="12">
        <f>H55-488728</f>
        <v>61172</v>
      </c>
      <c r="M55" s="12">
        <v>135000</v>
      </c>
      <c r="N55" s="12">
        <f t="shared" si="9"/>
        <v>164970</v>
      </c>
      <c r="O55" s="14">
        <v>1</v>
      </c>
      <c r="P55" s="12">
        <f t="shared" si="6"/>
        <v>61172</v>
      </c>
      <c r="Q55" s="15">
        <f t="shared" si="7"/>
        <v>1.4043158861340679</v>
      </c>
      <c r="R55" s="15">
        <f t="shared" si="8"/>
        <v>3.0991735537190084</v>
      </c>
      <c r="S55" s="10" t="s">
        <v>97</v>
      </c>
    </row>
    <row r="56" spans="1:19" x14ac:dyDescent="0.25">
      <c r="A56" s="10" t="s">
        <v>281</v>
      </c>
      <c r="B56" s="10" t="s">
        <v>282</v>
      </c>
      <c r="C56" s="10" t="s">
        <v>226</v>
      </c>
      <c r="D56" s="11">
        <v>45386</v>
      </c>
      <c r="E56" s="12">
        <v>549900</v>
      </c>
      <c r="F56" s="10" t="s">
        <v>29</v>
      </c>
      <c r="G56" s="10" t="s">
        <v>23</v>
      </c>
      <c r="H56" s="12">
        <v>549900</v>
      </c>
      <c r="I56" s="12">
        <v>311860</v>
      </c>
      <c r="J56" s="13">
        <f t="shared" si="5"/>
        <v>56.712129478086922</v>
      </c>
      <c r="K56" s="12">
        <v>623728</v>
      </c>
      <c r="L56" s="12">
        <f>H56-488728</f>
        <v>61172</v>
      </c>
      <c r="M56" s="12">
        <v>135000</v>
      </c>
      <c r="N56" s="12">
        <f t="shared" si="9"/>
        <v>164970</v>
      </c>
      <c r="O56" s="14">
        <v>1</v>
      </c>
      <c r="P56" s="12">
        <f t="shared" si="6"/>
        <v>61172</v>
      </c>
      <c r="Q56" s="15">
        <f t="shared" si="7"/>
        <v>1.4043158861340679</v>
      </c>
      <c r="R56" s="15">
        <f t="shared" si="8"/>
        <v>3.0991735537190084</v>
      </c>
      <c r="S56" s="10" t="s">
        <v>97</v>
      </c>
    </row>
    <row r="57" spans="1:19" x14ac:dyDescent="0.25">
      <c r="A57" s="10" t="s">
        <v>283</v>
      </c>
      <c r="B57" s="10" t="s">
        <v>284</v>
      </c>
      <c r="C57" s="10" t="s">
        <v>226</v>
      </c>
      <c r="D57" s="11">
        <v>45244</v>
      </c>
      <c r="E57" s="12">
        <v>595000</v>
      </c>
      <c r="F57" s="10" t="s">
        <v>29</v>
      </c>
      <c r="G57" s="10" t="s">
        <v>23</v>
      </c>
      <c r="H57" s="12">
        <v>595000</v>
      </c>
      <c r="I57" s="12">
        <v>273270</v>
      </c>
      <c r="J57" s="13">
        <f t="shared" si="5"/>
        <v>45.927731092436971</v>
      </c>
      <c r="K57" s="12">
        <v>546549</v>
      </c>
      <c r="L57" s="12">
        <f>H57-448849</f>
        <v>146151</v>
      </c>
      <c r="M57" s="12">
        <v>97700</v>
      </c>
      <c r="N57" s="12">
        <f t="shared" si="9"/>
        <v>178500</v>
      </c>
      <c r="O57" s="14">
        <v>1</v>
      </c>
      <c r="P57" s="12">
        <f t="shared" si="6"/>
        <v>146151</v>
      </c>
      <c r="Q57" s="15">
        <f t="shared" si="7"/>
        <v>3.3551652892561985</v>
      </c>
      <c r="R57" s="15">
        <f t="shared" si="8"/>
        <v>2.2428833792470155</v>
      </c>
      <c r="S57" s="10" t="s">
        <v>97</v>
      </c>
    </row>
    <row r="58" spans="1:19" x14ac:dyDescent="0.25">
      <c r="A58" s="10" t="s">
        <v>285</v>
      </c>
      <c r="B58" s="10" t="s">
        <v>286</v>
      </c>
      <c r="C58" s="10" t="s">
        <v>226</v>
      </c>
      <c r="D58" s="11">
        <v>45139</v>
      </c>
      <c r="E58" s="12">
        <v>347500</v>
      </c>
      <c r="F58" s="10" t="s">
        <v>22</v>
      </c>
      <c r="G58" s="10" t="s">
        <v>23</v>
      </c>
      <c r="H58" s="12">
        <v>347500</v>
      </c>
      <c r="I58" s="12">
        <v>157710</v>
      </c>
      <c r="J58" s="13">
        <f t="shared" si="5"/>
        <v>45.384172661870501</v>
      </c>
      <c r="K58" s="12">
        <v>315420</v>
      </c>
      <c r="L58" s="12">
        <f>H58-240420</f>
        <v>107080</v>
      </c>
      <c r="M58" s="12">
        <v>75000</v>
      </c>
      <c r="N58" s="12">
        <f t="shared" si="9"/>
        <v>104250</v>
      </c>
      <c r="O58" s="14">
        <v>1</v>
      </c>
      <c r="P58" s="12">
        <f t="shared" si="6"/>
        <v>107080</v>
      </c>
      <c r="Q58" s="15">
        <f t="shared" si="7"/>
        <v>2.4582185491276398</v>
      </c>
      <c r="R58" s="15">
        <f t="shared" si="8"/>
        <v>1.721763085399449</v>
      </c>
      <c r="S58" s="10" t="s">
        <v>97</v>
      </c>
    </row>
    <row r="59" spans="1:19" x14ac:dyDescent="0.25">
      <c r="A59" s="10" t="s">
        <v>287</v>
      </c>
      <c r="B59" s="10" t="s">
        <v>288</v>
      </c>
      <c r="C59" s="10" t="s">
        <v>226</v>
      </c>
      <c r="D59" s="11">
        <v>45176</v>
      </c>
      <c r="E59" s="12">
        <v>350000</v>
      </c>
      <c r="F59" s="10" t="s">
        <v>29</v>
      </c>
      <c r="G59" s="10" t="s">
        <v>23</v>
      </c>
      <c r="H59" s="12">
        <v>350000</v>
      </c>
      <c r="I59" s="12">
        <v>161640</v>
      </c>
      <c r="J59" s="13">
        <f t="shared" si="5"/>
        <v>46.182857142857145</v>
      </c>
      <c r="K59" s="12">
        <v>323275</v>
      </c>
      <c r="L59" s="12">
        <f>H59-241475</f>
        <v>108525</v>
      </c>
      <c r="M59" s="12">
        <v>81800</v>
      </c>
      <c r="N59" s="12">
        <f t="shared" si="9"/>
        <v>105000</v>
      </c>
      <c r="O59" s="14">
        <v>1</v>
      </c>
      <c r="P59" s="12">
        <f t="shared" si="6"/>
        <v>108525</v>
      </c>
      <c r="Q59" s="15">
        <f t="shared" si="7"/>
        <v>2.4913911845730028</v>
      </c>
      <c r="R59" s="15">
        <f t="shared" si="8"/>
        <v>1.8778696051423325</v>
      </c>
      <c r="S59" s="10" t="s">
        <v>97</v>
      </c>
    </row>
    <row r="60" spans="1:19" x14ac:dyDescent="0.25">
      <c r="A60" s="10" t="s">
        <v>287</v>
      </c>
      <c r="B60" s="10" t="s">
        <v>288</v>
      </c>
      <c r="C60" s="10" t="s">
        <v>226</v>
      </c>
      <c r="D60" s="11">
        <v>45532</v>
      </c>
      <c r="E60" s="12">
        <v>420000</v>
      </c>
      <c r="F60" s="10" t="s">
        <v>29</v>
      </c>
      <c r="G60" s="10" t="s">
        <v>23</v>
      </c>
      <c r="H60" s="12">
        <v>420000</v>
      </c>
      <c r="I60" s="12">
        <v>161640</v>
      </c>
      <c r="J60" s="13">
        <f t="shared" si="5"/>
        <v>38.485714285714288</v>
      </c>
      <c r="K60" s="12">
        <v>323275</v>
      </c>
      <c r="L60" s="12">
        <f>H60-241475</f>
        <v>178525</v>
      </c>
      <c r="M60" s="12">
        <v>81800</v>
      </c>
      <c r="N60" s="12">
        <f t="shared" si="9"/>
        <v>126000</v>
      </c>
      <c r="O60" s="14">
        <v>1</v>
      </c>
      <c r="P60" s="12">
        <f t="shared" si="6"/>
        <v>178525</v>
      </c>
      <c r="Q60" s="15">
        <f t="shared" si="7"/>
        <v>4.0983700642791554</v>
      </c>
      <c r="R60" s="15">
        <f t="shared" si="8"/>
        <v>1.8778696051423325</v>
      </c>
      <c r="S60" s="10" t="s">
        <v>97</v>
      </c>
    </row>
    <row r="61" spans="1:19" x14ac:dyDescent="0.25">
      <c r="A61" s="10" t="s">
        <v>289</v>
      </c>
      <c r="B61" s="10" t="s">
        <v>290</v>
      </c>
      <c r="C61" s="10" t="s">
        <v>226</v>
      </c>
      <c r="D61" s="11">
        <v>45040</v>
      </c>
      <c r="E61" s="12">
        <v>355000</v>
      </c>
      <c r="F61" s="10" t="s">
        <v>29</v>
      </c>
      <c r="G61" s="10" t="s">
        <v>23</v>
      </c>
      <c r="H61" s="12">
        <v>355000</v>
      </c>
      <c r="I61" s="12">
        <v>162780</v>
      </c>
      <c r="J61" s="13">
        <f t="shared" si="5"/>
        <v>45.853521126760569</v>
      </c>
      <c r="K61" s="12">
        <v>325557</v>
      </c>
      <c r="L61" s="12">
        <f>H61-243757</f>
        <v>111243</v>
      </c>
      <c r="M61" s="12">
        <v>81800</v>
      </c>
      <c r="N61" s="12">
        <f t="shared" si="9"/>
        <v>106500</v>
      </c>
      <c r="O61" s="14">
        <v>1</v>
      </c>
      <c r="P61" s="12">
        <f t="shared" si="6"/>
        <v>111243</v>
      </c>
      <c r="Q61" s="15">
        <f t="shared" si="7"/>
        <v>2.5537878787878787</v>
      </c>
      <c r="R61" s="15">
        <f t="shared" si="8"/>
        <v>1.8778696051423325</v>
      </c>
      <c r="S61" s="10" t="s">
        <v>97</v>
      </c>
    </row>
    <row r="62" spans="1:19" x14ac:dyDescent="0.25">
      <c r="A62" s="10" t="s">
        <v>291</v>
      </c>
      <c r="B62" s="10" t="s">
        <v>292</v>
      </c>
      <c r="C62" s="10" t="s">
        <v>226</v>
      </c>
      <c r="D62" s="11">
        <v>45499</v>
      </c>
      <c r="E62" s="12">
        <v>335000</v>
      </c>
      <c r="F62" s="10" t="s">
        <v>29</v>
      </c>
      <c r="G62" s="10" t="s">
        <v>23</v>
      </c>
      <c r="H62" s="12">
        <v>335000</v>
      </c>
      <c r="I62" s="12">
        <v>158240</v>
      </c>
      <c r="J62" s="13">
        <f t="shared" si="5"/>
        <v>47.235820895522387</v>
      </c>
      <c r="K62" s="12">
        <v>316475</v>
      </c>
      <c r="L62" s="12">
        <f>H62-241475</f>
        <v>93525</v>
      </c>
      <c r="M62" s="12">
        <v>75000</v>
      </c>
      <c r="N62" s="12">
        <f t="shared" si="9"/>
        <v>100500</v>
      </c>
      <c r="O62" s="14">
        <v>1</v>
      </c>
      <c r="P62" s="12">
        <f t="shared" si="6"/>
        <v>93525</v>
      </c>
      <c r="Q62" s="15">
        <f t="shared" si="7"/>
        <v>2.1470385674931127</v>
      </c>
      <c r="R62" s="15">
        <f t="shared" si="8"/>
        <v>1.721763085399449</v>
      </c>
      <c r="S62" s="10" t="s">
        <v>97</v>
      </c>
    </row>
    <row r="63" spans="1:19" x14ac:dyDescent="0.25">
      <c r="A63" s="10" t="s">
        <v>293</v>
      </c>
      <c r="B63" s="10" t="s">
        <v>294</v>
      </c>
      <c r="C63" s="10" t="s">
        <v>226</v>
      </c>
      <c r="D63" s="11">
        <v>45308</v>
      </c>
      <c r="E63" s="12">
        <v>360000</v>
      </c>
      <c r="F63" s="10" t="s">
        <v>22</v>
      </c>
      <c r="G63" s="10" t="s">
        <v>23</v>
      </c>
      <c r="H63" s="12">
        <v>360000</v>
      </c>
      <c r="I63" s="12">
        <v>159380</v>
      </c>
      <c r="J63" s="13">
        <f t="shared" si="5"/>
        <v>44.272222222222226</v>
      </c>
      <c r="K63" s="12">
        <v>318757</v>
      </c>
      <c r="L63" s="12">
        <f>H63-243757</f>
        <v>116243</v>
      </c>
      <c r="M63" s="12">
        <v>75000</v>
      </c>
      <c r="N63" s="12">
        <f t="shared" si="9"/>
        <v>108000</v>
      </c>
      <c r="O63" s="14">
        <v>1</v>
      </c>
      <c r="P63" s="12">
        <f t="shared" si="6"/>
        <v>116243</v>
      </c>
      <c r="Q63" s="15">
        <f t="shared" si="7"/>
        <v>2.6685720844811756</v>
      </c>
      <c r="R63" s="15">
        <f t="shared" si="8"/>
        <v>1.721763085399449</v>
      </c>
      <c r="S63" s="10" t="s">
        <v>97</v>
      </c>
    </row>
    <row r="64" spans="1:19" x14ac:dyDescent="0.25">
      <c r="A64" s="10" t="s">
        <v>295</v>
      </c>
      <c r="B64" s="10" t="s">
        <v>296</v>
      </c>
      <c r="C64" s="10" t="s">
        <v>226</v>
      </c>
      <c r="D64" s="11">
        <v>45580</v>
      </c>
      <c r="E64" s="12">
        <v>375000</v>
      </c>
      <c r="F64" s="10" t="s">
        <v>22</v>
      </c>
      <c r="G64" s="10" t="s">
        <v>23</v>
      </c>
      <c r="H64" s="12">
        <v>375000</v>
      </c>
      <c r="I64" s="12">
        <v>157710</v>
      </c>
      <c r="J64" s="13">
        <f t="shared" si="5"/>
        <v>42.055999999999997</v>
      </c>
      <c r="K64" s="12">
        <v>315420</v>
      </c>
      <c r="L64" s="12">
        <f>H64-240420</f>
        <v>134580</v>
      </c>
      <c r="M64" s="12">
        <v>75000</v>
      </c>
      <c r="N64" s="12">
        <f t="shared" si="9"/>
        <v>112500</v>
      </c>
      <c r="O64" s="14">
        <v>1</v>
      </c>
      <c r="P64" s="12">
        <f t="shared" si="6"/>
        <v>134580</v>
      </c>
      <c r="Q64" s="15">
        <f t="shared" si="7"/>
        <v>3.0895316804407713</v>
      </c>
      <c r="R64" s="15">
        <f t="shared" si="8"/>
        <v>1.721763085399449</v>
      </c>
      <c r="S64" s="10" t="s">
        <v>97</v>
      </c>
    </row>
    <row r="65" spans="1:19" x14ac:dyDescent="0.25">
      <c r="A65" s="10" t="s">
        <v>297</v>
      </c>
      <c r="B65" s="10" t="s">
        <v>298</v>
      </c>
      <c r="C65" s="10" t="s">
        <v>226</v>
      </c>
      <c r="D65" s="11">
        <v>45489</v>
      </c>
      <c r="E65" s="12">
        <v>350000</v>
      </c>
      <c r="F65" s="10" t="s">
        <v>29</v>
      </c>
      <c r="G65" s="10" t="s">
        <v>23</v>
      </c>
      <c r="H65" s="12">
        <v>350000</v>
      </c>
      <c r="I65" s="12">
        <v>181580</v>
      </c>
      <c r="J65" s="13">
        <f t="shared" si="5"/>
        <v>51.88</v>
      </c>
      <c r="K65" s="12">
        <v>363159</v>
      </c>
      <c r="L65" s="12">
        <f>H65-288159</f>
        <v>61841</v>
      </c>
      <c r="M65" s="12">
        <v>75000</v>
      </c>
      <c r="N65" s="12">
        <f t="shared" si="9"/>
        <v>105000</v>
      </c>
      <c r="O65" s="14">
        <v>1</v>
      </c>
      <c r="P65" s="12">
        <f t="shared" si="6"/>
        <v>61841</v>
      </c>
      <c r="Q65" s="15">
        <f t="shared" si="7"/>
        <v>1.4196740128558309</v>
      </c>
      <c r="R65" s="15">
        <f t="shared" si="8"/>
        <v>1.721763085399449</v>
      </c>
      <c r="S65" s="10" t="s">
        <v>97</v>
      </c>
    </row>
    <row r="66" spans="1:19" x14ac:dyDescent="0.25">
      <c r="A66" s="10" t="s">
        <v>299</v>
      </c>
      <c r="B66" s="10" t="s">
        <v>300</v>
      </c>
      <c r="C66" s="10" t="s">
        <v>226</v>
      </c>
      <c r="D66" s="11">
        <v>45672</v>
      </c>
      <c r="E66" s="12">
        <v>400000</v>
      </c>
      <c r="F66" s="10" t="s">
        <v>22</v>
      </c>
      <c r="G66" s="10" t="s">
        <v>23</v>
      </c>
      <c r="H66" s="12">
        <v>400000</v>
      </c>
      <c r="I66" s="12">
        <v>170680</v>
      </c>
      <c r="J66" s="13">
        <f t="shared" si="5"/>
        <v>42.67</v>
      </c>
      <c r="K66" s="12">
        <v>341356</v>
      </c>
      <c r="L66" s="12">
        <f>H66-259556</f>
        <v>140444</v>
      </c>
      <c r="M66" s="12">
        <v>81800</v>
      </c>
      <c r="N66" s="12">
        <f t="shared" si="9"/>
        <v>120000</v>
      </c>
      <c r="O66" s="14">
        <v>1</v>
      </c>
      <c r="P66" s="12">
        <f t="shared" si="6"/>
        <v>140444</v>
      </c>
      <c r="Q66" s="15">
        <f t="shared" si="7"/>
        <v>3.2241505968778696</v>
      </c>
      <c r="R66" s="15">
        <f t="shared" si="8"/>
        <v>1.8778696051423325</v>
      </c>
      <c r="S66" s="10" t="s">
        <v>97</v>
      </c>
    </row>
    <row r="67" spans="1:19" x14ac:dyDescent="0.25">
      <c r="A67" s="10" t="s">
        <v>301</v>
      </c>
      <c r="B67" s="10" t="s">
        <v>302</v>
      </c>
      <c r="C67" s="10" t="s">
        <v>226</v>
      </c>
      <c r="D67" s="11">
        <v>45061</v>
      </c>
      <c r="E67" s="12">
        <v>512000</v>
      </c>
      <c r="F67" s="10" t="s">
        <v>29</v>
      </c>
      <c r="G67" s="10" t="s">
        <v>23</v>
      </c>
      <c r="H67" s="12">
        <v>512000</v>
      </c>
      <c r="I67" s="12">
        <v>228090</v>
      </c>
      <c r="J67" s="13">
        <f t="shared" si="5"/>
        <v>44.548828125</v>
      </c>
      <c r="K67" s="12">
        <v>456176</v>
      </c>
      <c r="L67" s="12">
        <f>H67-337676</f>
        <v>174324</v>
      </c>
      <c r="M67" s="12">
        <v>118500</v>
      </c>
      <c r="N67" s="12">
        <f t="shared" si="9"/>
        <v>153600</v>
      </c>
      <c r="O67" s="14">
        <v>1</v>
      </c>
      <c r="P67" s="12">
        <f t="shared" si="6"/>
        <v>174324</v>
      </c>
      <c r="Q67" s="15">
        <f t="shared" si="7"/>
        <v>4.0019283746556473</v>
      </c>
      <c r="R67" s="15">
        <f t="shared" si="8"/>
        <v>2.7203856749311295</v>
      </c>
      <c r="S67" s="10" t="s">
        <v>97</v>
      </c>
    </row>
    <row r="68" spans="1:19" x14ac:dyDescent="0.25">
      <c r="A68" s="10" t="s">
        <v>303</v>
      </c>
      <c r="B68" s="10" t="s">
        <v>304</v>
      </c>
      <c r="C68" s="10" t="s">
        <v>226</v>
      </c>
      <c r="D68" s="11">
        <v>45195</v>
      </c>
      <c r="E68" s="12">
        <v>336000</v>
      </c>
      <c r="F68" s="10" t="s">
        <v>22</v>
      </c>
      <c r="G68" s="10" t="s">
        <v>23</v>
      </c>
      <c r="H68" s="12">
        <v>336000</v>
      </c>
      <c r="I68" s="12">
        <v>148740</v>
      </c>
      <c r="J68" s="13">
        <f t="shared" si="5"/>
        <v>44.267857142857139</v>
      </c>
      <c r="K68" s="12">
        <v>297480</v>
      </c>
      <c r="L68" s="12">
        <f>H68-228180</f>
        <v>107820</v>
      </c>
      <c r="M68" s="12">
        <v>69300</v>
      </c>
      <c r="N68" s="12">
        <f t="shared" si="9"/>
        <v>100800</v>
      </c>
      <c r="O68" s="14">
        <v>1</v>
      </c>
      <c r="P68" s="12">
        <f t="shared" si="6"/>
        <v>107820</v>
      </c>
      <c r="Q68" s="15">
        <f t="shared" si="7"/>
        <v>2.4752066115702478</v>
      </c>
      <c r="R68" s="15">
        <f t="shared" si="8"/>
        <v>1.5909090909090908</v>
      </c>
      <c r="S68" s="10" t="s">
        <v>97</v>
      </c>
    </row>
    <row r="69" spans="1:19" x14ac:dyDescent="0.25">
      <c r="A69" s="10" t="s">
        <v>305</v>
      </c>
      <c r="B69" s="10" t="s">
        <v>306</v>
      </c>
      <c r="C69" s="10" t="s">
        <v>226</v>
      </c>
      <c r="D69" s="11">
        <v>45679</v>
      </c>
      <c r="E69" s="12">
        <v>600000</v>
      </c>
      <c r="F69" s="10" t="s">
        <v>22</v>
      </c>
      <c r="G69" s="10" t="s">
        <v>23</v>
      </c>
      <c r="H69" s="12">
        <v>600000</v>
      </c>
      <c r="I69" s="12">
        <v>346340</v>
      </c>
      <c r="J69" s="13">
        <f t="shared" si="5"/>
        <v>57.723333333333336</v>
      </c>
      <c r="K69" s="12">
        <v>692672</v>
      </c>
      <c r="L69" s="12">
        <f>H69-574172</f>
        <v>25828</v>
      </c>
      <c r="M69" s="12">
        <v>118500</v>
      </c>
      <c r="N69" s="12">
        <f t="shared" si="9"/>
        <v>180000</v>
      </c>
      <c r="O69" s="14">
        <v>1</v>
      </c>
      <c r="P69" s="12">
        <f t="shared" si="6"/>
        <v>25828</v>
      </c>
      <c r="Q69" s="15">
        <f t="shared" si="7"/>
        <v>0.59292929292929297</v>
      </c>
      <c r="R69" s="15">
        <f t="shared" si="8"/>
        <v>2.7203856749311295</v>
      </c>
      <c r="S69" s="10" t="s">
        <v>97</v>
      </c>
    </row>
    <row r="70" spans="1:19" x14ac:dyDescent="0.25">
      <c r="A70" s="10" t="s">
        <v>307</v>
      </c>
      <c r="B70" s="10" t="s">
        <v>308</v>
      </c>
      <c r="C70" s="10" t="s">
        <v>226</v>
      </c>
      <c r="D70" s="11">
        <v>45303</v>
      </c>
      <c r="E70" s="12">
        <v>975000</v>
      </c>
      <c r="F70" s="10" t="s">
        <v>22</v>
      </c>
      <c r="G70" s="10" t="s">
        <v>23</v>
      </c>
      <c r="H70" s="12">
        <v>975000</v>
      </c>
      <c r="I70" s="12">
        <v>355680</v>
      </c>
      <c r="J70" s="13">
        <f t="shared" si="5"/>
        <v>36.480000000000004</v>
      </c>
      <c r="K70" s="12">
        <v>711368</v>
      </c>
      <c r="L70" s="12">
        <f>H70-592868</f>
        <v>382132</v>
      </c>
      <c r="M70" s="12">
        <v>118500</v>
      </c>
      <c r="N70" s="12">
        <f t="shared" si="9"/>
        <v>292500</v>
      </c>
      <c r="O70" s="14">
        <v>1</v>
      </c>
      <c r="P70" s="12">
        <f t="shared" si="6"/>
        <v>382132</v>
      </c>
      <c r="Q70" s="15">
        <f t="shared" si="7"/>
        <v>8.7725436179981635</v>
      </c>
      <c r="R70" s="15">
        <f t="shared" si="8"/>
        <v>2.7203856749311295</v>
      </c>
      <c r="S70" s="10" t="s">
        <v>97</v>
      </c>
    </row>
    <row r="71" spans="1:19" x14ac:dyDescent="0.25">
      <c r="A71" s="10" t="s">
        <v>309</v>
      </c>
      <c r="B71" s="10" t="s">
        <v>310</v>
      </c>
      <c r="C71" s="10" t="s">
        <v>226</v>
      </c>
      <c r="D71" s="11">
        <v>45555</v>
      </c>
      <c r="E71" s="12">
        <v>430000</v>
      </c>
      <c r="F71" s="10" t="s">
        <v>29</v>
      </c>
      <c r="G71" s="10" t="s">
        <v>23</v>
      </c>
      <c r="H71" s="12">
        <v>430000</v>
      </c>
      <c r="I71" s="12">
        <v>260090</v>
      </c>
      <c r="J71" s="13">
        <f t="shared" si="5"/>
        <v>60.486046511627912</v>
      </c>
      <c r="K71" s="12">
        <v>520180</v>
      </c>
      <c r="L71" s="12">
        <f>H71-401680</f>
        <v>28320</v>
      </c>
      <c r="M71" s="12">
        <v>118500</v>
      </c>
      <c r="N71" s="12">
        <f t="shared" si="9"/>
        <v>129000</v>
      </c>
      <c r="O71" s="14">
        <v>1</v>
      </c>
      <c r="P71" s="12">
        <f t="shared" si="6"/>
        <v>28320</v>
      </c>
      <c r="Q71" s="15">
        <f t="shared" si="7"/>
        <v>0.65013774104683197</v>
      </c>
      <c r="R71" s="15">
        <f t="shared" si="8"/>
        <v>2.7203856749311295</v>
      </c>
      <c r="S71" s="10" t="s">
        <v>97</v>
      </c>
    </row>
    <row r="72" spans="1:19" x14ac:dyDescent="0.25">
      <c r="A72" s="10" t="s">
        <v>311</v>
      </c>
      <c r="B72" s="10" t="s">
        <v>312</v>
      </c>
      <c r="C72" s="10" t="s">
        <v>226</v>
      </c>
      <c r="D72" s="11">
        <v>45635</v>
      </c>
      <c r="E72" s="12">
        <v>700000</v>
      </c>
      <c r="F72" s="10" t="s">
        <v>29</v>
      </c>
      <c r="G72" s="10" t="s">
        <v>23</v>
      </c>
      <c r="H72" s="12">
        <v>700000</v>
      </c>
      <c r="I72" s="12">
        <v>320250</v>
      </c>
      <c r="J72" s="13">
        <f t="shared" si="5"/>
        <v>45.75</v>
      </c>
      <c r="K72" s="12">
        <v>640501</v>
      </c>
      <c r="L72" s="12">
        <f>H72-522001</f>
        <v>177999</v>
      </c>
      <c r="M72" s="12">
        <v>118500</v>
      </c>
      <c r="N72" s="12">
        <f t="shared" si="9"/>
        <v>210000</v>
      </c>
      <c r="O72" s="14">
        <v>1</v>
      </c>
      <c r="P72" s="12">
        <f t="shared" si="6"/>
        <v>177999</v>
      </c>
      <c r="Q72" s="15">
        <f t="shared" si="7"/>
        <v>4.0862947658402202</v>
      </c>
      <c r="R72" s="15">
        <f t="shared" si="8"/>
        <v>2.7203856749311295</v>
      </c>
      <c r="S72" s="10" t="s">
        <v>97</v>
      </c>
    </row>
    <row r="73" spans="1:19" x14ac:dyDescent="0.25">
      <c r="A73" s="10" t="s">
        <v>313</v>
      </c>
      <c r="B73" s="10" t="s">
        <v>314</v>
      </c>
      <c r="C73" s="10" t="s">
        <v>226</v>
      </c>
      <c r="D73" s="11">
        <v>45352</v>
      </c>
      <c r="E73" s="12">
        <v>625000</v>
      </c>
      <c r="F73" s="10" t="s">
        <v>22</v>
      </c>
      <c r="G73" s="10" t="s">
        <v>23</v>
      </c>
      <c r="H73" s="12">
        <v>625000</v>
      </c>
      <c r="I73" s="12">
        <v>349480</v>
      </c>
      <c r="J73" s="13">
        <f t="shared" si="5"/>
        <v>55.916800000000002</v>
      </c>
      <c r="K73" s="12">
        <v>698962</v>
      </c>
      <c r="L73" s="12">
        <f>H73-580462</f>
        <v>44538</v>
      </c>
      <c r="M73" s="12">
        <v>118500</v>
      </c>
      <c r="N73" s="12">
        <f t="shared" si="9"/>
        <v>187500</v>
      </c>
      <c r="O73" s="14">
        <v>1</v>
      </c>
      <c r="P73" s="12">
        <f t="shared" si="6"/>
        <v>44538</v>
      </c>
      <c r="Q73" s="15">
        <f t="shared" si="7"/>
        <v>1.0224517906336088</v>
      </c>
      <c r="R73" s="15">
        <f t="shared" si="8"/>
        <v>2.7203856749311295</v>
      </c>
      <c r="S73" s="10" t="s">
        <v>97</v>
      </c>
    </row>
    <row r="74" spans="1:19" x14ac:dyDescent="0.25">
      <c r="A74" s="10" t="s">
        <v>315</v>
      </c>
      <c r="B74" s="10" t="s">
        <v>316</v>
      </c>
      <c r="C74" s="10" t="s">
        <v>226</v>
      </c>
      <c r="D74" s="11">
        <v>45588</v>
      </c>
      <c r="E74" s="12">
        <v>390000</v>
      </c>
      <c r="F74" s="10" t="s">
        <v>22</v>
      </c>
      <c r="G74" s="10" t="s">
        <v>23</v>
      </c>
      <c r="H74" s="12">
        <v>390000</v>
      </c>
      <c r="I74" s="12">
        <v>162650</v>
      </c>
      <c r="J74" s="13">
        <f t="shared" si="5"/>
        <v>41.705128205128204</v>
      </c>
      <c r="K74" s="12">
        <v>325308</v>
      </c>
      <c r="L74" s="12">
        <f>H74-256008</f>
        <v>133992</v>
      </c>
      <c r="M74" s="12">
        <v>69300</v>
      </c>
      <c r="N74" s="12">
        <f t="shared" si="9"/>
        <v>117000</v>
      </c>
      <c r="O74" s="14">
        <v>1</v>
      </c>
      <c r="P74" s="12">
        <f t="shared" si="6"/>
        <v>133992</v>
      </c>
      <c r="Q74" s="15">
        <f t="shared" si="7"/>
        <v>3.0760330578512396</v>
      </c>
      <c r="R74" s="15">
        <f t="shared" si="8"/>
        <v>1.5909090909090908</v>
      </c>
      <c r="S74" s="10" t="s">
        <v>97</v>
      </c>
    </row>
    <row r="75" spans="1:19" x14ac:dyDescent="0.25">
      <c r="A75" s="10" t="s">
        <v>317</v>
      </c>
      <c r="B75" s="10" t="s">
        <v>318</v>
      </c>
      <c r="C75" s="10" t="s">
        <v>226</v>
      </c>
      <c r="D75" s="11">
        <v>45716</v>
      </c>
      <c r="E75" s="12">
        <v>370000</v>
      </c>
      <c r="F75" s="10" t="s">
        <v>22</v>
      </c>
      <c r="G75" s="10" t="s">
        <v>23</v>
      </c>
      <c r="H75" s="12">
        <v>370000</v>
      </c>
      <c r="I75" s="12">
        <v>162910</v>
      </c>
      <c r="J75" s="13">
        <f t="shared" si="5"/>
        <v>44.029729729729731</v>
      </c>
      <c r="K75" s="12">
        <v>325812</v>
      </c>
      <c r="L75" s="12">
        <f>H75-256512</f>
        <v>113488</v>
      </c>
      <c r="M75" s="12">
        <v>69300</v>
      </c>
      <c r="N75" s="12">
        <f t="shared" si="9"/>
        <v>111000</v>
      </c>
      <c r="O75" s="14">
        <v>1</v>
      </c>
      <c r="P75" s="12">
        <f t="shared" si="6"/>
        <v>113488</v>
      </c>
      <c r="Q75" s="15">
        <f t="shared" si="7"/>
        <v>2.6053259871441687</v>
      </c>
      <c r="R75" s="15">
        <f t="shared" si="8"/>
        <v>1.5909090909090908</v>
      </c>
      <c r="S75" s="10" t="s">
        <v>97</v>
      </c>
    </row>
    <row r="76" spans="1:19" x14ac:dyDescent="0.25">
      <c r="A76" s="10" t="s">
        <v>319</v>
      </c>
      <c r="B76" s="10" t="s">
        <v>320</v>
      </c>
      <c r="C76" s="10" t="s">
        <v>226</v>
      </c>
      <c r="D76" s="11">
        <v>45019</v>
      </c>
      <c r="E76" s="12">
        <v>335000</v>
      </c>
      <c r="F76" s="10" t="s">
        <v>22</v>
      </c>
      <c r="G76" s="10" t="s">
        <v>23</v>
      </c>
      <c r="H76" s="12">
        <v>335000</v>
      </c>
      <c r="I76" s="12">
        <v>173260</v>
      </c>
      <c r="J76" s="13">
        <f t="shared" si="5"/>
        <v>51.719402985074623</v>
      </c>
      <c r="K76" s="12">
        <v>346513</v>
      </c>
      <c r="L76" s="12">
        <f>H76-277213</f>
        <v>57787</v>
      </c>
      <c r="M76" s="12">
        <v>69300</v>
      </c>
      <c r="N76" s="12">
        <f t="shared" si="9"/>
        <v>100500</v>
      </c>
      <c r="O76" s="14">
        <v>1</v>
      </c>
      <c r="P76" s="12">
        <f t="shared" si="6"/>
        <v>57787</v>
      </c>
      <c r="Q76" s="15">
        <f t="shared" si="7"/>
        <v>1.3266069788797061</v>
      </c>
      <c r="R76" s="15">
        <f t="shared" si="8"/>
        <v>1.5909090909090908</v>
      </c>
      <c r="S76" s="10" t="s">
        <v>97</v>
      </c>
    </row>
    <row r="77" spans="1:19" ht="15.75" thickBot="1" x14ac:dyDescent="0.3">
      <c r="A77" s="16"/>
      <c r="B77" s="16"/>
      <c r="C77" s="16"/>
      <c r="D77" s="17"/>
      <c r="E77" s="18"/>
      <c r="F77" s="16"/>
      <c r="G77" s="16"/>
      <c r="H77" s="18"/>
      <c r="I77" s="18"/>
      <c r="J77" s="19"/>
      <c r="K77" s="18"/>
      <c r="L77" s="18">
        <f>AVERAGE(L26:L76)</f>
        <v>151765.62745098039</v>
      </c>
      <c r="M77" s="18">
        <f>AVERAGE(M26:M76)</f>
        <v>93929.411764705888</v>
      </c>
      <c r="N77" s="18">
        <f>AVERAGE(N26:N76)</f>
        <v>162453.29999999999</v>
      </c>
      <c r="O77" s="20"/>
      <c r="P77" s="18"/>
      <c r="Q77" s="21">
        <f>AVERAGE(Q26:Q76)</f>
        <v>3.4840593997011116</v>
      </c>
      <c r="R77" s="21">
        <f>AVERAGE(R26:R76)</f>
        <v>2.1563225841300699</v>
      </c>
      <c r="S77" s="16"/>
    </row>
    <row r="78" spans="1:19" ht="15.75" thickTop="1" x14ac:dyDescent="0.25">
      <c r="A78" s="10"/>
      <c r="B78" s="10"/>
      <c r="C78" s="10"/>
      <c r="D78" s="11"/>
      <c r="E78" s="12"/>
      <c r="F78" s="10"/>
      <c r="G78" s="10"/>
      <c r="H78" s="12"/>
      <c r="I78" s="12"/>
      <c r="J78" s="13"/>
      <c r="K78" s="12"/>
      <c r="L78" s="12"/>
      <c r="M78" s="12"/>
      <c r="N78" s="12"/>
      <c r="O78" s="14"/>
      <c r="P78" s="12"/>
      <c r="Q78" s="15"/>
      <c r="R78" s="15"/>
      <c r="S78" s="10"/>
    </row>
    <row r="79" spans="1:19" x14ac:dyDescent="0.25">
      <c r="A79" s="10"/>
      <c r="B79" s="10"/>
      <c r="C79" s="10"/>
      <c r="D79" s="11"/>
      <c r="E79" s="12"/>
      <c r="F79" s="10"/>
      <c r="G79" s="10"/>
      <c r="H79" s="12"/>
      <c r="I79" s="12"/>
      <c r="J79" s="13"/>
      <c r="K79" s="12"/>
      <c r="L79" s="12"/>
      <c r="M79" s="12"/>
      <c r="N79" s="12"/>
      <c r="O79" s="14"/>
      <c r="P79" s="12"/>
      <c r="Q79" s="15"/>
      <c r="R79" s="15"/>
      <c r="S79" s="10"/>
    </row>
    <row r="80" spans="1:19" x14ac:dyDescent="0.25">
      <c r="A80" s="10" t="s">
        <v>321</v>
      </c>
      <c r="B80" s="10" t="s">
        <v>322</v>
      </c>
      <c r="C80" s="10" t="s">
        <v>323</v>
      </c>
      <c r="D80" s="11">
        <v>45121</v>
      </c>
      <c r="E80" s="12">
        <v>353900</v>
      </c>
      <c r="F80" s="10" t="s">
        <v>22</v>
      </c>
      <c r="G80" s="10" t="s">
        <v>23</v>
      </c>
      <c r="H80" s="12">
        <v>353900</v>
      </c>
      <c r="I80" s="12">
        <v>157500</v>
      </c>
      <c r="J80" s="13">
        <f>I80/H80*100</f>
        <v>44.504097202599603</v>
      </c>
      <c r="K80" s="12">
        <v>315006</v>
      </c>
      <c r="L80" s="12">
        <f>H80-260506</f>
        <v>93394</v>
      </c>
      <c r="M80" s="12">
        <v>54500</v>
      </c>
      <c r="N80" s="12">
        <f>E80*0.2</f>
        <v>70780</v>
      </c>
      <c r="O80" s="14">
        <v>1</v>
      </c>
      <c r="P80" s="12">
        <f>L80/O80</f>
        <v>93394</v>
      </c>
      <c r="Q80" s="15">
        <f>L80/O80/43560</f>
        <v>2.1440312213039485</v>
      </c>
      <c r="R80" s="15">
        <f>M80/O80/43560</f>
        <v>1.2511478420569329</v>
      </c>
      <c r="S80" s="10" t="s">
        <v>97</v>
      </c>
    </row>
    <row r="81" spans="1:19" x14ac:dyDescent="0.25">
      <c r="A81" s="10" t="s">
        <v>324</v>
      </c>
      <c r="B81" s="10" t="s">
        <v>325</v>
      </c>
      <c r="C81" s="10" t="s">
        <v>323</v>
      </c>
      <c r="D81" s="11">
        <v>45355</v>
      </c>
      <c r="E81" s="12">
        <v>290000</v>
      </c>
      <c r="F81" s="10" t="s">
        <v>22</v>
      </c>
      <c r="G81" s="10" t="s">
        <v>23</v>
      </c>
      <c r="H81" s="12">
        <v>290000</v>
      </c>
      <c r="I81" s="12">
        <v>148180</v>
      </c>
      <c r="J81" s="13">
        <f>I81/H81*100</f>
        <v>51.096551724137932</v>
      </c>
      <c r="K81" s="12">
        <v>296351</v>
      </c>
      <c r="L81" s="12">
        <f>H81-241851</f>
        <v>48149</v>
      </c>
      <c r="M81" s="12">
        <v>54500</v>
      </c>
      <c r="N81" s="12">
        <f t="shared" ref="N81:N83" si="10">E81*0.2</f>
        <v>58000</v>
      </c>
      <c r="O81" s="14">
        <v>1</v>
      </c>
      <c r="P81" s="12">
        <f>L81/O81</f>
        <v>48149</v>
      </c>
      <c r="Q81" s="15">
        <f>L81/O81/43560</f>
        <v>1.1053489439853077</v>
      </c>
      <c r="R81" s="15">
        <f>M81/O81/43560</f>
        <v>1.2511478420569329</v>
      </c>
      <c r="S81" s="10" t="s">
        <v>97</v>
      </c>
    </row>
    <row r="82" spans="1:19" x14ac:dyDescent="0.25">
      <c r="A82" s="10" t="s">
        <v>326</v>
      </c>
      <c r="B82" s="10" t="s">
        <v>327</v>
      </c>
      <c r="C82" s="10" t="s">
        <v>323</v>
      </c>
      <c r="D82" s="11">
        <v>45383</v>
      </c>
      <c r="E82" s="12">
        <v>260000</v>
      </c>
      <c r="F82" s="10" t="s">
        <v>29</v>
      </c>
      <c r="G82" s="10" t="s">
        <v>23</v>
      </c>
      <c r="H82" s="12">
        <v>260000</v>
      </c>
      <c r="I82" s="12">
        <v>151570</v>
      </c>
      <c r="J82" s="13">
        <f>I82/H82*100</f>
        <v>58.296153846153842</v>
      </c>
      <c r="K82" s="12">
        <v>303148</v>
      </c>
      <c r="L82" s="12">
        <f>H82-248648</f>
        <v>11352</v>
      </c>
      <c r="M82" s="12">
        <v>54500</v>
      </c>
      <c r="N82" s="12">
        <f t="shared" si="10"/>
        <v>52000</v>
      </c>
      <c r="O82" s="14">
        <v>1</v>
      </c>
      <c r="P82" s="12">
        <f>L82/O82</f>
        <v>11352</v>
      </c>
      <c r="Q82" s="15">
        <f>L82/O82/43560</f>
        <v>0.26060606060606062</v>
      </c>
      <c r="R82" s="15">
        <f>M82/O82/43560</f>
        <v>1.2511478420569329</v>
      </c>
      <c r="S82" s="10" t="s">
        <v>97</v>
      </c>
    </row>
    <row r="83" spans="1:19" x14ac:dyDescent="0.25">
      <c r="A83" s="10" t="s">
        <v>326</v>
      </c>
      <c r="B83" s="10" t="s">
        <v>327</v>
      </c>
      <c r="C83" s="10" t="s">
        <v>323</v>
      </c>
      <c r="D83" s="11">
        <v>45394</v>
      </c>
      <c r="E83" s="12">
        <v>320000</v>
      </c>
      <c r="F83" s="10" t="s">
        <v>29</v>
      </c>
      <c r="G83" s="10" t="s">
        <v>23</v>
      </c>
      <c r="H83" s="12">
        <v>320000</v>
      </c>
      <c r="I83" s="12">
        <v>151570</v>
      </c>
      <c r="J83" s="13">
        <f>I83/H83*100</f>
        <v>47.365625000000001</v>
      </c>
      <c r="K83" s="12">
        <v>303148</v>
      </c>
      <c r="L83" s="12">
        <f>H83-248648</f>
        <v>71352</v>
      </c>
      <c r="M83" s="12">
        <v>54500</v>
      </c>
      <c r="N83" s="12">
        <f t="shared" si="10"/>
        <v>64000</v>
      </c>
      <c r="O83" s="14">
        <v>1</v>
      </c>
      <c r="P83" s="12">
        <f>L83/O83</f>
        <v>71352</v>
      </c>
      <c r="Q83" s="15">
        <f>L83/O83/43560</f>
        <v>1.6380165289256199</v>
      </c>
      <c r="R83" s="15">
        <f>M83/O83/43560</f>
        <v>1.2511478420569329</v>
      </c>
      <c r="S83" s="10" t="s">
        <v>97</v>
      </c>
    </row>
    <row r="84" spans="1:19" ht="15.75" thickBot="1" x14ac:dyDescent="0.3">
      <c r="A84" s="16"/>
      <c r="B84" s="16"/>
      <c r="C84" s="16"/>
      <c r="D84" s="17"/>
      <c r="E84" s="18"/>
      <c r="F84" s="16"/>
      <c r="G84" s="16"/>
      <c r="H84" s="18"/>
      <c r="I84" s="18"/>
      <c r="J84" s="19"/>
      <c r="K84" s="18"/>
      <c r="L84" s="18">
        <f>AVERAGE(L80:L83)</f>
        <v>56061.75</v>
      </c>
      <c r="M84" s="18">
        <f>AVERAGE(M80:M83)</f>
        <v>54500</v>
      </c>
      <c r="N84" s="18">
        <f>AVERAGE(N80:N83)</f>
        <v>61195</v>
      </c>
      <c r="O84" s="20"/>
      <c r="P84" s="18"/>
      <c r="Q84" s="21">
        <f>AVERAGE(Q80:Q83)</f>
        <v>1.2870006887052343</v>
      </c>
      <c r="R84" s="21">
        <f>AVERAGE(R80:R83)</f>
        <v>1.2511478420569329</v>
      </c>
      <c r="S84" s="16"/>
    </row>
    <row r="85" spans="1:19" ht="15.75" thickTop="1" x14ac:dyDescent="0.25">
      <c r="A85" s="10"/>
      <c r="B85" s="10"/>
      <c r="C85" s="10"/>
      <c r="D85" s="11"/>
      <c r="E85" s="12"/>
      <c r="F85" s="10"/>
      <c r="G85" s="10"/>
      <c r="H85" s="12"/>
      <c r="I85" s="12"/>
      <c r="J85" s="13"/>
      <c r="K85" s="12"/>
      <c r="L85" s="12"/>
      <c r="M85" s="12"/>
      <c r="N85" s="12"/>
      <c r="O85" s="14"/>
      <c r="P85" s="12"/>
      <c r="Q85" s="15"/>
      <c r="R85" s="15"/>
      <c r="S85" s="10"/>
    </row>
    <row r="86" spans="1:19" x14ac:dyDescent="0.25">
      <c r="A86" s="10"/>
      <c r="B86" s="10"/>
      <c r="C86" s="10"/>
      <c r="D86" s="11"/>
      <c r="E86" s="12"/>
      <c r="F86" s="10"/>
      <c r="G86" s="10"/>
      <c r="H86" s="12"/>
      <c r="I86" s="12"/>
      <c r="J86" s="13"/>
      <c r="K86" s="12"/>
      <c r="L86" s="12"/>
      <c r="M86" s="12"/>
      <c r="N86" s="12"/>
      <c r="O86" s="14"/>
      <c r="P86" s="12"/>
      <c r="Q86" s="15"/>
      <c r="R86" s="15"/>
      <c r="S86" s="10"/>
    </row>
    <row r="87" spans="1:19" x14ac:dyDescent="0.25">
      <c r="A87" s="10" t="s">
        <v>328</v>
      </c>
      <c r="B87" s="10" t="s">
        <v>329</v>
      </c>
      <c r="C87" s="10" t="s">
        <v>330</v>
      </c>
      <c r="D87" s="11">
        <v>45744</v>
      </c>
      <c r="E87" s="12">
        <v>146000</v>
      </c>
      <c r="F87" s="10" t="s">
        <v>22</v>
      </c>
      <c r="G87" s="10" t="s">
        <v>23</v>
      </c>
      <c r="H87" s="12">
        <v>146000</v>
      </c>
      <c r="I87" s="12">
        <v>73120</v>
      </c>
      <c r="J87" s="13">
        <f t="shared" ref="J87:J138" si="11">I87/H87*100</f>
        <v>50.082191780821915</v>
      </c>
      <c r="K87" s="12">
        <v>146232</v>
      </c>
      <c r="L87" s="12">
        <f>H87-111232</f>
        <v>34768</v>
      </c>
      <c r="M87" s="12">
        <v>35000</v>
      </c>
      <c r="N87" s="12">
        <f>E87*0.2</f>
        <v>29200</v>
      </c>
      <c r="O87" s="14">
        <v>1</v>
      </c>
      <c r="P87" s="12">
        <f t="shared" ref="P87:P138" si="12">L87/O87</f>
        <v>34768</v>
      </c>
      <c r="Q87" s="15">
        <f t="shared" ref="Q87:Q138" si="13">L87/O87/43560</f>
        <v>0.79816345270890721</v>
      </c>
      <c r="R87" s="15">
        <f t="shared" ref="R87:R138" si="14">M87/O87/43560</f>
        <v>0.80348943985307619</v>
      </c>
      <c r="S87" s="10" t="s">
        <v>97</v>
      </c>
    </row>
    <row r="88" spans="1:19" x14ac:dyDescent="0.25">
      <c r="A88" s="10" t="s">
        <v>331</v>
      </c>
      <c r="B88" s="10" t="s">
        <v>332</v>
      </c>
      <c r="C88" s="10" t="s">
        <v>330</v>
      </c>
      <c r="D88" s="11">
        <v>45482</v>
      </c>
      <c r="E88" s="12">
        <v>133000</v>
      </c>
      <c r="F88" s="10" t="s">
        <v>29</v>
      </c>
      <c r="G88" s="10" t="s">
        <v>23</v>
      </c>
      <c r="H88" s="12">
        <v>133000</v>
      </c>
      <c r="I88" s="12">
        <v>60900</v>
      </c>
      <c r="J88" s="13">
        <f t="shared" si="11"/>
        <v>45.789473684210527</v>
      </c>
      <c r="K88" s="12">
        <v>121794</v>
      </c>
      <c r="L88" s="12">
        <f>H88-86794</f>
        <v>46206</v>
      </c>
      <c r="M88" s="12">
        <v>35000</v>
      </c>
      <c r="N88" s="12">
        <f t="shared" ref="N88:N138" si="15">E88*0.2</f>
        <v>26600</v>
      </c>
      <c r="O88" s="14">
        <v>1</v>
      </c>
      <c r="P88" s="12">
        <f t="shared" si="12"/>
        <v>46206</v>
      </c>
      <c r="Q88" s="15">
        <f t="shared" si="13"/>
        <v>1.0607438016528925</v>
      </c>
      <c r="R88" s="15">
        <f t="shared" si="14"/>
        <v>0.80348943985307619</v>
      </c>
      <c r="S88" s="10" t="s">
        <v>97</v>
      </c>
    </row>
    <row r="89" spans="1:19" x14ac:dyDescent="0.25">
      <c r="A89" s="10" t="s">
        <v>333</v>
      </c>
      <c r="B89" s="10" t="s">
        <v>334</v>
      </c>
      <c r="C89" s="10" t="s">
        <v>330</v>
      </c>
      <c r="D89" s="11">
        <v>45203</v>
      </c>
      <c r="E89" s="12">
        <v>153000</v>
      </c>
      <c r="F89" s="10" t="s">
        <v>22</v>
      </c>
      <c r="G89" s="10" t="s">
        <v>23</v>
      </c>
      <c r="H89" s="12">
        <v>153000</v>
      </c>
      <c r="I89" s="12">
        <v>60900</v>
      </c>
      <c r="J89" s="13">
        <f t="shared" si="11"/>
        <v>39.803921568627452</v>
      </c>
      <c r="K89" s="12">
        <v>121795</v>
      </c>
      <c r="L89" s="12">
        <f>H89-86795</f>
        <v>66205</v>
      </c>
      <c r="M89" s="12">
        <v>35000</v>
      </c>
      <c r="N89" s="12">
        <f t="shared" si="15"/>
        <v>30600</v>
      </c>
      <c r="O89" s="14">
        <v>1</v>
      </c>
      <c r="P89" s="12">
        <f t="shared" si="12"/>
        <v>66205</v>
      </c>
      <c r="Q89" s="15">
        <f t="shared" si="13"/>
        <v>1.5198576675849402</v>
      </c>
      <c r="R89" s="15">
        <f t="shared" si="14"/>
        <v>0.80348943985307619</v>
      </c>
      <c r="S89" s="10" t="s">
        <v>97</v>
      </c>
    </row>
    <row r="90" spans="1:19" x14ac:dyDescent="0.25">
      <c r="A90" s="10" t="s">
        <v>335</v>
      </c>
      <c r="B90" s="10" t="s">
        <v>336</v>
      </c>
      <c r="C90" s="10" t="s">
        <v>330</v>
      </c>
      <c r="D90" s="11">
        <v>45708</v>
      </c>
      <c r="E90" s="12">
        <v>170000</v>
      </c>
      <c r="F90" s="10" t="s">
        <v>22</v>
      </c>
      <c r="G90" s="10" t="s">
        <v>23</v>
      </c>
      <c r="H90" s="12">
        <v>170000</v>
      </c>
      <c r="I90" s="12">
        <v>68450</v>
      </c>
      <c r="J90" s="13">
        <f t="shared" si="11"/>
        <v>40.264705882352942</v>
      </c>
      <c r="K90" s="12">
        <v>136900</v>
      </c>
      <c r="L90" s="12">
        <f>H90-101900</f>
        <v>68100</v>
      </c>
      <c r="M90" s="12">
        <v>35000</v>
      </c>
      <c r="N90" s="12">
        <f t="shared" si="15"/>
        <v>34000</v>
      </c>
      <c r="O90" s="14">
        <v>1</v>
      </c>
      <c r="P90" s="12">
        <f t="shared" si="12"/>
        <v>68100</v>
      </c>
      <c r="Q90" s="15">
        <f t="shared" si="13"/>
        <v>1.5633608815426998</v>
      </c>
      <c r="R90" s="15">
        <f t="shared" si="14"/>
        <v>0.80348943985307619</v>
      </c>
      <c r="S90" s="10" t="s">
        <v>97</v>
      </c>
    </row>
    <row r="91" spans="1:19" x14ac:dyDescent="0.25">
      <c r="A91" s="10" t="s">
        <v>337</v>
      </c>
      <c r="B91" s="10" t="s">
        <v>338</v>
      </c>
      <c r="C91" s="10" t="s">
        <v>330</v>
      </c>
      <c r="D91" s="11">
        <v>45257</v>
      </c>
      <c r="E91" s="12">
        <v>102500</v>
      </c>
      <c r="F91" s="10" t="s">
        <v>22</v>
      </c>
      <c r="G91" s="10" t="s">
        <v>23</v>
      </c>
      <c r="H91" s="12">
        <v>102500</v>
      </c>
      <c r="I91" s="12">
        <v>47490</v>
      </c>
      <c r="J91" s="13">
        <f t="shared" si="11"/>
        <v>46.331707317073175</v>
      </c>
      <c r="K91" s="12">
        <v>94986</v>
      </c>
      <c r="L91" s="12">
        <f>H91-59986</f>
        <v>42514</v>
      </c>
      <c r="M91" s="12">
        <v>35000</v>
      </c>
      <c r="N91" s="12">
        <f t="shared" si="15"/>
        <v>20500</v>
      </c>
      <c r="O91" s="14">
        <v>1</v>
      </c>
      <c r="P91" s="12">
        <f t="shared" si="12"/>
        <v>42514</v>
      </c>
      <c r="Q91" s="15">
        <f t="shared" si="13"/>
        <v>0.97598714416896237</v>
      </c>
      <c r="R91" s="15">
        <f t="shared" si="14"/>
        <v>0.80348943985307619</v>
      </c>
      <c r="S91" s="10" t="s">
        <v>97</v>
      </c>
    </row>
    <row r="92" spans="1:19" x14ac:dyDescent="0.25">
      <c r="A92" s="10" t="s">
        <v>339</v>
      </c>
      <c r="B92" s="10" t="s">
        <v>340</v>
      </c>
      <c r="C92" s="10" t="s">
        <v>330</v>
      </c>
      <c r="D92" s="11">
        <v>45562</v>
      </c>
      <c r="E92" s="12">
        <v>164900</v>
      </c>
      <c r="F92" s="10" t="s">
        <v>22</v>
      </c>
      <c r="G92" s="10" t="s">
        <v>23</v>
      </c>
      <c r="H92" s="12">
        <v>164900</v>
      </c>
      <c r="I92" s="12">
        <v>60690</v>
      </c>
      <c r="J92" s="13">
        <f t="shared" si="11"/>
        <v>36.80412371134021</v>
      </c>
      <c r="K92" s="12">
        <v>121373</v>
      </c>
      <c r="L92" s="12">
        <f>H92-86373</f>
        <v>78527</v>
      </c>
      <c r="M92" s="12">
        <v>35000</v>
      </c>
      <c r="N92" s="12">
        <f t="shared" si="15"/>
        <v>32980</v>
      </c>
      <c r="O92" s="14">
        <v>1</v>
      </c>
      <c r="P92" s="12">
        <f t="shared" si="12"/>
        <v>78527</v>
      </c>
      <c r="Q92" s="15">
        <f t="shared" si="13"/>
        <v>1.8027318640955006</v>
      </c>
      <c r="R92" s="15">
        <f t="shared" si="14"/>
        <v>0.80348943985307619</v>
      </c>
      <c r="S92" s="10" t="s">
        <v>97</v>
      </c>
    </row>
    <row r="93" spans="1:19" x14ac:dyDescent="0.25">
      <c r="A93" s="10" t="s">
        <v>341</v>
      </c>
      <c r="B93" s="10" t="s">
        <v>342</v>
      </c>
      <c r="C93" s="10" t="s">
        <v>330</v>
      </c>
      <c r="D93" s="11">
        <v>45071</v>
      </c>
      <c r="E93" s="12">
        <v>157500</v>
      </c>
      <c r="F93" s="10" t="s">
        <v>22</v>
      </c>
      <c r="G93" s="10" t="s">
        <v>23</v>
      </c>
      <c r="H93" s="12">
        <v>157500</v>
      </c>
      <c r="I93" s="12">
        <v>65700</v>
      </c>
      <c r="J93" s="13">
        <f t="shared" si="11"/>
        <v>41.714285714285715</v>
      </c>
      <c r="K93" s="12">
        <v>131407</v>
      </c>
      <c r="L93" s="12">
        <f>H93-96407</f>
        <v>61093</v>
      </c>
      <c r="M93" s="12">
        <v>35000</v>
      </c>
      <c r="N93" s="12">
        <f t="shared" si="15"/>
        <v>31500</v>
      </c>
      <c r="O93" s="14">
        <v>1</v>
      </c>
      <c r="P93" s="12">
        <f t="shared" si="12"/>
        <v>61093</v>
      </c>
      <c r="Q93" s="15">
        <f t="shared" si="13"/>
        <v>1.4025022956841138</v>
      </c>
      <c r="R93" s="15">
        <f t="shared" si="14"/>
        <v>0.80348943985307619</v>
      </c>
      <c r="S93" s="10" t="s">
        <v>97</v>
      </c>
    </row>
    <row r="94" spans="1:19" x14ac:dyDescent="0.25">
      <c r="A94" s="10" t="s">
        <v>343</v>
      </c>
      <c r="B94" s="10" t="s">
        <v>344</v>
      </c>
      <c r="C94" s="10" t="s">
        <v>330</v>
      </c>
      <c r="D94" s="11">
        <v>45090</v>
      </c>
      <c r="E94" s="12">
        <v>150000</v>
      </c>
      <c r="F94" s="10" t="s">
        <v>22</v>
      </c>
      <c r="G94" s="10" t="s">
        <v>23</v>
      </c>
      <c r="H94" s="12">
        <v>150000</v>
      </c>
      <c r="I94" s="12">
        <v>61440</v>
      </c>
      <c r="J94" s="13">
        <f t="shared" si="11"/>
        <v>40.96</v>
      </c>
      <c r="K94" s="12">
        <v>122876</v>
      </c>
      <c r="L94" s="12">
        <f>H94-87876</f>
        <v>62124</v>
      </c>
      <c r="M94" s="12">
        <v>35000</v>
      </c>
      <c r="N94" s="12">
        <f t="shared" si="15"/>
        <v>30000</v>
      </c>
      <c r="O94" s="14">
        <v>1</v>
      </c>
      <c r="P94" s="12">
        <f t="shared" si="12"/>
        <v>62124</v>
      </c>
      <c r="Q94" s="15">
        <f t="shared" si="13"/>
        <v>1.4261707988980716</v>
      </c>
      <c r="R94" s="15">
        <f t="shared" si="14"/>
        <v>0.80348943985307619</v>
      </c>
      <c r="S94" s="10" t="s">
        <v>97</v>
      </c>
    </row>
    <row r="95" spans="1:19" x14ac:dyDescent="0.25">
      <c r="A95" s="10" t="s">
        <v>345</v>
      </c>
      <c r="B95" s="10" t="s">
        <v>346</v>
      </c>
      <c r="C95" s="10" t="s">
        <v>330</v>
      </c>
      <c r="D95" s="11">
        <v>45035</v>
      </c>
      <c r="E95" s="12">
        <v>166600</v>
      </c>
      <c r="F95" s="10" t="s">
        <v>22</v>
      </c>
      <c r="G95" s="10" t="s">
        <v>23</v>
      </c>
      <c r="H95" s="12">
        <v>166600</v>
      </c>
      <c r="I95" s="12">
        <v>64240</v>
      </c>
      <c r="J95" s="13">
        <f t="shared" si="11"/>
        <v>38.559423769507802</v>
      </c>
      <c r="K95" s="12">
        <v>128479</v>
      </c>
      <c r="L95" s="12">
        <f>H95-93479</f>
        <v>73121</v>
      </c>
      <c r="M95" s="12">
        <v>35000</v>
      </c>
      <c r="N95" s="12">
        <f t="shared" si="15"/>
        <v>33320</v>
      </c>
      <c r="O95" s="14">
        <v>1</v>
      </c>
      <c r="P95" s="12">
        <f t="shared" si="12"/>
        <v>73121</v>
      </c>
      <c r="Q95" s="15">
        <f t="shared" si="13"/>
        <v>1.6786271808999083</v>
      </c>
      <c r="R95" s="15">
        <f t="shared" si="14"/>
        <v>0.80348943985307619</v>
      </c>
      <c r="S95" s="10" t="s">
        <v>97</v>
      </c>
    </row>
    <row r="96" spans="1:19" x14ac:dyDescent="0.25">
      <c r="A96" s="10" t="s">
        <v>347</v>
      </c>
      <c r="B96" s="10" t="s">
        <v>348</v>
      </c>
      <c r="C96" s="10" t="s">
        <v>330</v>
      </c>
      <c r="D96" s="11">
        <v>45401</v>
      </c>
      <c r="E96" s="12">
        <v>169000</v>
      </c>
      <c r="F96" s="10" t="s">
        <v>29</v>
      </c>
      <c r="G96" s="10" t="s">
        <v>23</v>
      </c>
      <c r="H96" s="12">
        <v>169000</v>
      </c>
      <c r="I96" s="12">
        <v>64240</v>
      </c>
      <c r="J96" s="13">
        <f t="shared" si="11"/>
        <v>38.011834319526628</v>
      </c>
      <c r="K96" s="12">
        <v>128479</v>
      </c>
      <c r="L96" s="12">
        <f>H96-93479</f>
        <v>75521</v>
      </c>
      <c r="M96" s="12">
        <v>35000</v>
      </c>
      <c r="N96" s="12">
        <f t="shared" si="15"/>
        <v>33800</v>
      </c>
      <c r="O96" s="14">
        <v>1</v>
      </c>
      <c r="P96" s="12">
        <f t="shared" si="12"/>
        <v>75521</v>
      </c>
      <c r="Q96" s="15">
        <f t="shared" si="13"/>
        <v>1.7337235996326905</v>
      </c>
      <c r="R96" s="15">
        <f t="shared" si="14"/>
        <v>0.80348943985307619</v>
      </c>
      <c r="S96" s="10" t="s">
        <v>97</v>
      </c>
    </row>
    <row r="97" spans="1:19" x14ac:dyDescent="0.25">
      <c r="A97" s="10" t="s">
        <v>349</v>
      </c>
      <c r="B97" s="10" t="s">
        <v>350</v>
      </c>
      <c r="C97" s="10" t="s">
        <v>330</v>
      </c>
      <c r="D97" s="11">
        <v>45296</v>
      </c>
      <c r="E97" s="12">
        <v>120000</v>
      </c>
      <c r="F97" s="10" t="s">
        <v>22</v>
      </c>
      <c r="G97" s="10" t="s">
        <v>23</v>
      </c>
      <c r="H97" s="12">
        <v>120000</v>
      </c>
      <c r="I97" s="12">
        <v>65940</v>
      </c>
      <c r="J97" s="13">
        <f t="shared" si="11"/>
        <v>54.949999999999996</v>
      </c>
      <c r="K97" s="12">
        <v>131889</v>
      </c>
      <c r="L97" s="12">
        <f>H97-96889</f>
        <v>23111</v>
      </c>
      <c r="M97" s="12">
        <v>35000</v>
      </c>
      <c r="N97" s="12">
        <f t="shared" si="15"/>
        <v>24000</v>
      </c>
      <c r="O97" s="14">
        <v>1</v>
      </c>
      <c r="P97" s="12">
        <f t="shared" si="12"/>
        <v>23111</v>
      </c>
      <c r="Q97" s="15">
        <f t="shared" si="13"/>
        <v>0.53055555555555556</v>
      </c>
      <c r="R97" s="15">
        <f t="shared" si="14"/>
        <v>0.80348943985307619</v>
      </c>
      <c r="S97" s="10" t="s">
        <v>97</v>
      </c>
    </row>
    <row r="98" spans="1:19" x14ac:dyDescent="0.25">
      <c r="A98" s="10" t="s">
        <v>351</v>
      </c>
      <c r="B98" s="10" t="s">
        <v>352</v>
      </c>
      <c r="C98" s="10" t="s">
        <v>330</v>
      </c>
      <c r="D98" s="11">
        <v>45562</v>
      </c>
      <c r="E98" s="12">
        <v>156400</v>
      </c>
      <c r="F98" s="10" t="s">
        <v>22</v>
      </c>
      <c r="G98" s="10" t="s">
        <v>23</v>
      </c>
      <c r="H98" s="12">
        <v>156400</v>
      </c>
      <c r="I98" s="12">
        <v>65050</v>
      </c>
      <c r="J98" s="13">
        <f t="shared" si="11"/>
        <v>41.592071611253196</v>
      </c>
      <c r="K98" s="12">
        <v>130109</v>
      </c>
      <c r="L98" s="12">
        <f>H98-95109</f>
        <v>61291</v>
      </c>
      <c r="M98" s="12">
        <v>35000</v>
      </c>
      <c r="N98" s="12">
        <f t="shared" si="15"/>
        <v>31280</v>
      </c>
      <c r="O98" s="14">
        <v>1</v>
      </c>
      <c r="P98" s="12">
        <f t="shared" si="12"/>
        <v>61291</v>
      </c>
      <c r="Q98" s="15">
        <f t="shared" si="13"/>
        <v>1.4070477502295684</v>
      </c>
      <c r="R98" s="15">
        <f t="shared" si="14"/>
        <v>0.80348943985307619</v>
      </c>
      <c r="S98" s="10" t="s">
        <v>97</v>
      </c>
    </row>
    <row r="99" spans="1:19" x14ac:dyDescent="0.25">
      <c r="A99" s="10" t="s">
        <v>353</v>
      </c>
      <c r="B99" s="10" t="s">
        <v>354</v>
      </c>
      <c r="C99" s="10" t="s">
        <v>330</v>
      </c>
      <c r="D99" s="11">
        <v>45538</v>
      </c>
      <c r="E99" s="12">
        <v>150000</v>
      </c>
      <c r="F99" s="10" t="s">
        <v>22</v>
      </c>
      <c r="G99" s="10" t="s">
        <v>23</v>
      </c>
      <c r="H99" s="12">
        <v>150000</v>
      </c>
      <c r="I99" s="12">
        <v>65180</v>
      </c>
      <c r="J99" s="13">
        <f t="shared" si="11"/>
        <v>43.453333333333333</v>
      </c>
      <c r="K99" s="12">
        <v>130363</v>
      </c>
      <c r="L99" s="12">
        <f>H99-95363</f>
        <v>54637</v>
      </c>
      <c r="M99" s="12">
        <v>35000</v>
      </c>
      <c r="N99" s="12">
        <f t="shared" si="15"/>
        <v>30000</v>
      </c>
      <c r="O99" s="14">
        <v>1</v>
      </c>
      <c r="P99" s="12">
        <f t="shared" si="12"/>
        <v>54637</v>
      </c>
      <c r="Q99" s="15">
        <f t="shared" si="13"/>
        <v>1.2542929292929292</v>
      </c>
      <c r="R99" s="15">
        <f t="shared" si="14"/>
        <v>0.80348943985307619</v>
      </c>
      <c r="S99" s="10" t="s">
        <v>97</v>
      </c>
    </row>
    <row r="100" spans="1:19" x14ac:dyDescent="0.25">
      <c r="A100" s="10" t="s">
        <v>355</v>
      </c>
      <c r="B100" s="10" t="s">
        <v>356</v>
      </c>
      <c r="C100" s="10" t="s">
        <v>330</v>
      </c>
      <c r="D100" s="11">
        <v>45209</v>
      </c>
      <c r="E100" s="12">
        <v>150000</v>
      </c>
      <c r="F100" s="10" t="s">
        <v>22</v>
      </c>
      <c r="G100" s="10" t="s">
        <v>23</v>
      </c>
      <c r="H100" s="12">
        <v>150000</v>
      </c>
      <c r="I100" s="12">
        <v>66380</v>
      </c>
      <c r="J100" s="13">
        <f t="shared" si="11"/>
        <v>44.25333333333333</v>
      </c>
      <c r="K100" s="12">
        <v>132752</v>
      </c>
      <c r="L100" s="12">
        <f>H100-97752</f>
        <v>52248</v>
      </c>
      <c r="M100" s="12">
        <v>35000</v>
      </c>
      <c r="N100" s="12">
        <f t="shared" si="15"/>
        <v>30000</v>
      </c>
      <c r="O100" s="14">
        <v>1</v>
      </c>
      <c r="P100" s="12">
        <f t="shared" si="12"/>
        <v>52248</v>
      </c>
      <c r="Q100" s="15">
        <f t="shared" si="13"/>
        <v>1.1994490358126721</v>
      </c>
      <c r="R100" s="15">
        <f t="shared" si="14"/>
        <v>0.80348943985307619</v>
      </c>
      <c r="S100" s="10" t="s">
        <v>97</v>
      </c>
    </row>
    <row r="101" spans="1:19" x14ac:dyDescent="0.25">
      <c r="A101" s="10" t="s">
        <v>357</v>
      </c>
      <c r="B101" s="10" t="s">
        <v>358</v>
      </c>
      <c r="C101" s="10" t="s">
        <v>330</v>
      </c>
      <c r="D101" s="11">
        <v>45709</v>
      </c>
      <c r="E101" s="12">
        <v>167000</v>
      </c>
      <c r="F101" s="10" t="s">
        <v>22</v>
      </c>
      <c r="G101" s="10" t="s">
        <v>23</v>
      </c>
      <c r="H101" s="12">
        <v>167000</v>
      </c>
      <c r="I101" s="12">
        <v>75160</v>
      </c>
      <c r="J101" s="13">
        <f t="shared" si="11"/>
        <v>45.005988023952099</v>
      </c>
      <c r="K101" s="12">
        <v>150326</v>
      </c>
      <c r="L101" s="12">
        <f>H101-115326</f>
        <v>51674</v>
      </c>
      <c r="M101" s="12">
        <v>35000</v>
      </c>
      <c r="N101" s="12">
        <f t="shared" si="15"/>
        <v>33400</v>
      </c>
      <c r="O101" s="14">
        <v>1</v>
      </c>
      <c r="P101" s="12">
        <f t="shared" si="12"/>
        <v>51674</v>
      </c>
      <c r="Q101" s="15">
        <f t="shared" si="13"/>
        <v>1.1862718089990818</v>
      </c>
      <c r="R101" s="15">
        <f t="shared" si="14"/>
        <v>0.80348943985307619</v>
      </c>
      <c r="S101" s="10" t="s">
        <v>97</v>
      </c>
    </row>
    <row r="102" spans="1:19" x14ac:dyDescent="0.25">
      <c r="A102" s="10" t="s">
        <v>359</v>
      </c>
      <c r="B102" s="10" t="s">
        <v>360</v>
      </c>
      <c r="C102" s="10" t="s">
        <v>330</v>
      </c>
      <c r="D102" s="11">
        <v>45264</v>
      </c>
      <c r="E102" s="12">
        <v>185000</v>
      </c>
      <c r="F102" s="10" t="s">
        <v>29</v>
      </c>
      <c r="G102" s="10" t="s">
        <v>23</v>
      </c>
      <c r="H102" s="12">
        <v>185000</v>
      </c>
      <c r="I102" s="12">
        <v>74040</v>
      </c>
      <c r="J102" s="13">
        <f t="shared" si="11"/>
        <v>40.02162162162162</v>
      </c>
      <c r="K102" s="12">
        <v>148087</v>
      </c>
      <c r="L102" s="12">
        <f>H102-113087</f>
        <v>71913</v>
      </c>
      <c r="M102" s="12">
        <v>35000</v>
      </c>
      <c r="N102" s="12">
        <f t="shared" si="15"/>
        <v>37000</v>
      </c>
      <c r="O102" s="14">
        <v>1</v>
      </c>
      <c r="P102" s="12">
        <f t="shared" si="12"/>
        <v>71913</v>
      </c>
      <c r="Q102" s="15">
        <f t="shared" si="13"/>
        <v>1.6508953168044078</v>
      </c>
      <c r="R102" s="15">
        <f t="shared" si="14"/>
        <v>0.80348943985307619</v>
      </c>
      <c r="S102" s="10" t="s">
        <v>97</v>
      </c>
    </row>
    <row r="103" spans="1:19" x14ac:dyDescent="0.25">
      <c r="A103" s="10" t="s">
        <v>361</v>
      </c>
      <c r="B103" s="10" t="s">
        <v>362</v>
      </c>
      <c r="C103" s="10" t="s">
        <v>330</v>
      </c>
      <c r="D103" s="11">
        <v>45090</v>
      </c>
      <c r="E103" s="12">
        <v>205000</v>
      </c>
      <c r="F103" s="10" t="s">
        <v>22</v>
      </c>
      <c r="G103" s="10" t="s">
        <v>23</v>
      </c>
      <c r="H103" s="12">
        <v>205000</v>
      </c>
      <c r="I103" s="12">
        <v>74840</v>
      </c>
      <c r="J103" s="13">
        <f t="shared" si="11"/>
        <v>36.507317073170732</v>
      </c>
      <c r="K103" s="12">
        <v>149684</v>
      </c>
      <c r="L103" s="12">
        <f>H103-114684</f>
        <v>90316</v>
      </c>
      <c r="M103" s="12">
        <v>35000</v>
      </c>
      <c r="N103" s="12">
        <f t="shared" si="15"/>
        <v>41000</v>
      </c>
      <c r="O103" s="14">
        <v>1</v>
      </c>
      <c r="P103" s="12">
        <f t="shared" si="12"/>
        <v>90316</v>
      </c>
      <c r="Q103" s="15">
        <f t="shared" si="13"/>
        <v>2.073370064279155</v>
      </c>
      <c r="R103" s="15">
        <f t="shared" si="14"/>
        <v>0.80348943985307619</v>
      </c>
      <c r="S103" s="10" t="s">
        <v>97</v>
      </c>
    </row>
    <row r="104" spans="1:19" x14ac:dyDescent="0.25">
      <c r="A104" s="10" t="s">
        <v>363</v>
      </c>
      <c r="B104" s="10" t="s">
        <v>364</v>
      </c>
      <c r="C104" s="10" t="s">
        <v>330</v>
      </c>
      <c r="D104" s="11">
        <v>45054</v>
      </c>
      <c r="E104" s="12">
        <v>167000</v>
      </c>
      <c r="F104" s="10" t="s">
        <v>29</v>
      </c>
      <c r="G104" s="10" t="s">
        <v>23</v>
      </c>
      <c r="H104" s="12">
        <v>167000</v>
      </c>
      <c r="I104" s="12">
        <v>66380</v>
      </c>
      <c r="J104" s="13">
        <f t="shared" si="11"/>
        <v>39.748502994011972</v>
      </c>
      <c r="K104" s="12">
        <v>132752</v>
      </c>
      <c r="L104" s="12">
        <f>H104-97752</f>
        <v>69248</v>
      </c>
      <c r="M104" s="12">
        <v>35000</v>
      </c>
      <c r="N104" s="12">
        <f t="shared" si="15"/>
        <v>33400</v>
      </c>
      <c r="O104" s="14">
        <v>1</v>
      </c>
      <c r="P104" s="12">
        <f t="shared" si="12"/>
        <v>69248</v>
      </c>
      <c r="Q104" s="15">
        <f t="shared" si="13"/>
        <v>1.5897153351698807</v>
      </c>
      <c r="R104" s="15">
        <f t="shared" si="14"/>
        <v>0.80348943985307619</v>
      </c>
      <c r="S104" s="10" t="s">
        <v>97</v>
      </c>
    </row>
    <row r="105" spans="1:19" x14ac:dyDescent="0.25">
      <c r="A105" s="10" t="s">
        <v>365</v>
      </c>
      <c r="B105" s="10" t="s">
        <v>366</v>
      </c>
      <c r="C105" s="10" t="s">
        <v>330</v>
      </c>
      <c r="D105" s="11">
        <v>45156</v>
      </c>
      <c r="E105" s="12">
        <v>116000</v>
      </c>
      <c r="F105" s="10" t="s">
        <v>22</v>
      </c>
      <c r="G105" s="10" t="s">
        <v>23</v>
      </c>
      <c r="H105" s="12">
        <v>116000</v>
      </c>
      <c r="I105" s="12">
        <v>47490</v>
      </c>
      <c r="J105" s="13">
        <f t="shared" si="11"/>
        <v>40.939655172413794</v>
      </c>
      <c r="K105" s="12">
        <v>94986</v>
      </c>
      <c r="L105" s="12">
        <f>H105-59986</f>
        <v>56014</v>
      </c>
      <c r="M105" s="12">
        <v>35000</v>
      </c>
      <c r="N105" s="12">
        <f t="shared" si="15"/>
        <v>23200</v>
      </c>
      <c r="O105" s="14">
        <v>1</v>
      </c>
      <c r="P105" s="12">
        <f t="shared" si="12"/>
        <v>56014</v>
      </c>
      <c r="Q105" s="15">
        <f t="shared" si="13"/>
        <v>1.2859044995408633</v>
      </c>
      <c r="R105" s="15">
        <f t="shared" si="14"/>
        <v>0.80348943985307619</v>
      </c>
      <c r="S105" s="10" t="s">
        <v>97</v>
      </c>
    </row>
    <row r="106" spans="1:19" x14ac:dyDescent="0.25">
      <c r="A106" s="10" t="s">
        <v>367</v>
      </c>
      <c r="B106" s="10" t="s">
        <v>368</v>
      </c>
      <c r="C106" s="10" t="s">
        <v>330</v>
      </c>
      <c r="D106" s="11">
        <v>45054</v>
      </c>
      <c r="E106" s="12">
        <v>109900</v>
      </c>
      <c r="F106" s="10" t="s">
        <v>29</v>
      </c>
      <c r="G106" s="10" t="s">
        <v>23</v>
      </c>
      <c r="H106" s="12">
        <v>109900</v>
      </c>
      <c r="I106" s="12">
        <v>47730</v>
      </c>
      <c r="J106" s="13">
        <f t="shared" si="11"/>
        <v>43.430391264786167</v>
      </c>
      <c r="K106" s="12">
        <v>95462</v>
      </c>
      <c r="L106" s="12">
        <f>H106-60462</f>
        <v>49438</v>
      </c>
      <c r="M106" s="12">
        <v>35000</v>
      </c>
      <c r="N106" s="12">
        <f t="shared" si="15"/>
        <v>21980</v>
      </c>
      <c r="O106" s="14">
        <v>1</v>
      </c>
      <c r="P106" s="12">
        <f t="shared" si="12"/>
        <v>49438</v>
      </c>
      <c r="Q106" s="15">
        <f t="shared" si="13"/>
        <v>1.1349403122130395</v>
      </c>
      <c r="R106" s="15">
        <f t="shared" si="14"/>
        <v>0.80348943985307619</v>
      </c>
      <c r="S106" s="10" t="s">
        <v>97</v>
      </c>
    </row>
    <row r="107" spans="1:19" x14ac:dyDescent="0.25">
      <c r="A107" s="10" t="s">
        <v>369</v>
      </c>
      <c r="B107" s="10" t="s">
        <v>370</v>
      </c>
      <c r="C107" s="10" t="s">
        <v>330</v>
      </c>
      <c r="D107" s="11">
        <v>45030</v>
      </c>
      <c r="E107" s="12">
        <v>106500</v>
      </c>
      <c r="F107" s="10" t="s">
        <v>22</v>
      </c>
      <c r="G107" s="10" t="s">
        <v>23</v>
      </c>
      <c r="H107" s="12">
        <v>106500</v>
      </c>
      <c r="I107" s="12">
        <v>46690</v>
      </c>
      <c r="J107" s="13">
        <f t="shared" si="11"/>
        <v>43.840375586854456</v>
      </c>
      <c r="K107" s="12">
        <v>93382</v>
      </c>
      <c r="L107" s="12">
        <f t="shared" ref="L107:L112" si="16">H107-58382</f>
        <v>48118</v>
      </c>
      <c r="M107" s="12">
        <v>35000</v>
      </c>
      <c r="N107" s="12">
        <f t="shared" si="15"/>
        <v>21300</v>
      </c>
      <c r="O107" s="14">
        <v>1</v>
      </c>
      <c r="P107" s="12">
        <f t="shared" si="12"/>
        <v>48118</v>
      </c>
      <c r="Q107" s="15">
        <f t="shared" si="13"/>
        <v>1.1046372819100092</v>
      </c>
      <c r="R107" s="15">
        <f t="shared" si="14"/>
        <v>0.80348943985307619</v>
      </c>
      <c r="S107" s="10" t="s">
        <v>97</v>
      </c>
    </row>
    <row r="108" spans="1:19" x14ac:dyDescent="0.25">
      <c r="A108" s="10" t="s">
        <v>371</v>
      </c>
      <c r="B108" s="10" t="s">
        <v>372</v>
      </c>
      <c r="C108" s="10" t="s">
        <v>330</v>
      </c>
      <c r="D108" s="11">
        <v>45204</v>
      </c>
      <c r="E108" s="12">
        <v>92800</v>
      </c>
      <c r="F108" s="10" t="s">
        <v>29</v>
      </c>
      <c r="G108" s="10" t="s">
        <v>23</v>
      </c>
      <c r="H108" s="12">
        <v>92800</v>
      </c>
      <c r="I108" s="12">
        <v>46690</v>
      </c>
      <c r="J108" s="13">
        <f t="shared" si="11"/>
        <v>50.312500000000007</v>
      </c>
      <c r="K108" s="12">
        <v>93382</v>
      </c>
      <c r="L108" s="12">
        <f t="shared" si="16"/>
        <v>34418</v>
      </c>
      <c r="M108" s="12">
        <v>35000</v>
      </c>
      <c r="N108" s="12">
        <f t="shared" si="15"/>
        <v>18560</v>
      </c>
      <c r="O108" s="14">
        <v>1</v>
      </c>
      <c r="P108" s="12">
        <f t="shared" si="12"/>
        <v>34418</v>
      </c>
      <c r="Q108" s="15">
        <f t="shared" si="13"/>
        <v>0.79012855831037654</v>
      </c>
      <c r="R108" s="15">
        <f t="shared" si="14"/>
        <v>0.80348943985307619</v>
      </c>
      <c r="S108" s="10" t="s">
        <v>97</v>
      </c>
    </row>
    <row r="109" spans="1:19" x14ac:dyDescent="0.25">
      <c r="A109" s="10" t="s">
        <v>371</v>
      </c>
      <c r="B109" s="10" t="s">
        <v>372</v>
      </c>
      <c r="C109" s="10" t="s">
        <v>330</v>
      </c>
      <c r="D109" s="11">
        <v>45562</v>
      </c>
      <c r="E109" s="12">
        <v>160000</v>
      </c>
      <c r="F109" s="10" t="s">
        <v>22</v>
      </c>
      <c r="G109" s="10" t="s">
        <v>23</v>
      </c>
      <c r="H109" s="12">
        <v>160000</v>
      </c>
      <c r="I109" s="12">
        <v>46690</v>
      </c>
      <c r="J109" s="13">
        <f t="shared" si="11"/>
        <v>29.181249999999999</v>
      </c>
      <c r="K109" s="12">
        <v>93382</v>
      </c>
      <c r="L109" s="12">
        <f t="shared" si="16"/>
        <v>101618</v>
      </c>
      <c r="M109" s="12">
        <v>35000</v>
      </c>
      <c r="N109" s="12">
        <f t="shared" si="15"/>
        <v>32000</v>
      </c>
      <c r="O109" s="14">
        <v>1</v>
      </c>
      <c r="P109" s="12">
        <f t="shared" si="12"/>
        <v>101618</v>
      </c>
      <c r="Q109" s="15">
        <f t="shared" si="13"/>
        <v>2.3328282828282827</v>
      </c>
      <c r="R109" s="15">
        <f t="shared" si="14"/>
        <v>0.80348943985307619</v>
      </c>
      <c r="S109" s="10" t="s">
        <v>97</v>
      </c>
    </row>
    <row r="110" spans="1:19" x14ac:dyDescent="0.25">
      <c r="A110" s="10" t="s">
        <v>373</v>
      </c>
      <c r="B110" s="10" t="s">
        <v>374</v>
      </c>
      <c r="C110" s="10" t="s">
        <v>330</v>
      </c>
      <c r="D110" s="11">
        <v>45049</v>
      </c>
      <c r="E110" s="12">
        <v>82500</v>
      </c>
      <c r="F110" s="10" t="s">
        <v>29</v>
      </c>
      <c r="G110" s="10" t="s">
        <v>23</v>
      </c>
      <c r="H110" s="12">
        <v>82500</v>
      </c>
      <c r="I110" s="12">
        <v>46690</v>
      </c>
      <c r="J110" s="13">
        <f t="shared" si="11"/>
        <v>56.593939393939394</v>
      </c>
      <c r="K110" s="12">
        <v>93382</v>
      </c>
      <c r="L110" s="12">
        <f t="shared" si="16"/>
        <v>24118</v>
      </c>
      <c r="M110" s="12">
        <v>35000</v>
      </c>
      <c r="N110" s="12">
        <f t="shared" si="15"/>
        <v>16500</v>
      </c>
      <c r="O110" s="14">
        <v>1</v>
      </c>
      <c r="P110" s="12">
        <f t="shared" si="12"/>
        <v>24118</v>
      </c>
      <c r="Q110" s="15">
        <f t="shared" si="13"/>
        <v>0.5536730945821855</v>
      </c>
      <c r="R110" s="15">
        <f t="shared" si="14"/>
        <v>0.80348943985307619</v>
      </c>
      <c r="S110" s="10" t="s">
        <v>97</v>
      </c>
    </row>
    <row r="111" spans="1:19" x14ac:dyDescent="0.25">
      <c r="A111" s="10" t="s">
        <v>373</v>
      </c>
      <c r="B111" s="10" t="s">
        <v>374</v>
      </c>
      <c r="C111" s="10" t="s">
        <v>330</v>
      </c>
      <c r="D111" s="11">
        <v>45190</v>
      </c>
      <c r="E111" s="12">
        <v>150000</v>
      </c>
      <c r="F111" s="10" t="s">
        <v>22</v>
      </c>
      <c r="G111" s="10" t="s">
        <v>23</v>
      </c>
      <c r="H111" s="12">
        <v>150000</v>
      </c>
      <c r="I111" s="12">
        <v>46690</v>
      </c>
      <c r="J111" s="13">
        <f t="shared" si="11"/>
        <v>31.126666666666669</v>
      </c>
      <c r="K111" s="12">
        <v>93382</v>
      </c>
      <c r="L111" s="12">
        <f t="shared" si="16"/>
        <v>91618</v>
      </c>
      <c r="M111" s="12">
        <v>35000</v>
      </c>
      <c r="N111" s="12">
        <f t="shared" si="15"/>
        <v>30000</v>
      </c>
      <c r="O111" s="14">
        <v>1</v>
      </c>
      <c r="P111" s="12">
        <f t="shared" si="12"/>
        <v>91618</v>
      </c>
      <c r="Q111" s="15">
        <f t="shared" si="13"/>
        <v>2.1032598714416895</v>
      </c>
      <c r="R111" s="15">
        <f t="shared" si="14"/>
        <v>0.80348943985307619</v>
      </c>
      <c r="S111" s="10" t="s">
        <v>97</v>
      </c>
    </row>
    <row r="112" spans="1:19" x14ac:dyDescent="0.25">
      <c r="A112" s="10" t="s">
        <v>375</v>
      </c>
      <c r="B112" s="10" t="s">
        <v>376</v>
      </c>
      <c r="C112" s="10" t="s">
        <v>330</v>
      </c>
      <c r="D112" s="11">
        <v>45261</v>
      </c>
      <c r="E112" s="12">
        <v>145000</v>
      </c>
      <c r="F112" s="10" t="s">
        <v>29</v>
      </c>
      <c r="G112" s="10" t="s">
        <v>23</v>
      </c>
      <c r="H112" s="12">
        <v>145000</v>
      </c>
      <c r="I112" s="12">
        <v>46690</v>
      </c>
      <c r="J112" s="13">
        <f t="shared" si="11"/>
        <v>32.200000000000003</v>
      </c>
      <c r="K112" s="12">
        <v>93382</v>
      </c>
      <c r="L112" s="12">
        <f t="shared" si="16"/>
        <v>86618</v>
      </c>
      <c r="M112" s="12">
        <v>35000</v>
      </c>
      <c r="N112" s="12">
        <f t="shared" si="15"/>
        <v>29000</v>
      </c>
      <c r="O112" s="14">
        <v>1</v>
      </c>
      <c r="P112" s="12">
        <f t="shared" si="12"/>
        <v>86618</v>
      </c>
      <c r="Q112" s="15">
        <f t="shared" si="13"/>
        <v>1.9884756657483931</v>
      </c>
      <c r="R112" s="15">
        <f t="shared" si="14"/>
        <v>0.80348943985307619</v>
      </c>
      <c r="S112" s="10" t="s">
        <v>97</v>
      </c>
    </row>
    <row r="113" spans="1:19" x14ac:dyDescent="0.25">
      <c r="A113" s="10" t="s">
        <v>377</v>
      </c>
      <c r="B113" s="10" t="s">
        <v>378</v>
      </c>
      <c r="C113" s="10" t="s">
        <v>330</v>
      </c>
      <c r="D113" s="11">
        <v>45401</v>
      </c>
      <c r="E113" s="12">
        <v>85000</v>
      </c>
      <c r="F113" s="10" t="s">
        <v>22</v>
      </c>
      <c r="G113" s="10" t="s">
        <v>23</v>
      </c>
      <c r="H113" s="12">
        <v>85000</v>
      </c>
      <c r="I113" s="12">
        <v>47950</v>
      </c>
      <c r="J113" s="13">
        <f t="shared" si="11"/>
        <v>56.411764705882348</v>
      </c>
      <c r="K113" s="12">
        <v>95900</v>
      </c>
      <c r="L113" s="12">
        <f>H113-60900</f>
        <v>24100</v>
      </c>
      <c r="M113" s="12">
        <v>35000</v>
      </c>
      <c r="N113" s="12">
        <f t="shared" si="15"/>
        <v>17000</v>
      </c>
      <c r="O113" s="14">
        <v>1</v>
      </c>
      <c r="P113" s="12">
        <f t="shared" si="12"/>
        <v>24100</v>
      </c>
      <c r="Q113" s="15">
        <f t="shared" si="13"/>
        <v>0.55325987144168964</v>
      </c>
      <c r="R113" s="15">
        <f t="shared" si="14"/>
        <v>0.80348943985307619</v>
      </c>
      <c r="S113" s="10" t="s">
        <v>97</v>
      </c>
    </row>
    <row r="114" spans="1:19" x14ac:dyDescent="0.25">
      <c r="A114" s="10" t="s">
        <v>377</v>
      </c>
      <c r="B114" s="10" t="s">
        <v>378</v>
      </c>
      <c r="C114" s="10" t="s">
        <v>330</v>
      </c>
      <c r="D114" s="11">
        <v>45538</v>
      </c>
      <c r="E114" s="12">
        <v>137000</v>
      </c>
      <c r="F114" s="10" t="s">
        <v>22</v>
      </c>
      <c r="G114" s="10" t="s">
        <v>23</v>
      </c>
      <c r="H114" s="12">
        <v>137000</v>
      </c>
      <c r="I114" s="12">
        <v>47950</v>
      </c>
      <c r="J114" s="13">
        <f t="shared" si="11"/>
        <v>35</v>
      </c>
      <c r="K114" s="12">
        <v>95900</v>
      </c>
      <c r="L114" s="12">
        <f>H114-60900</f>
        <v>76100</v>
      </c>
      <c r="M114" s="12">
        <v>35000</v>
      </c>
      <c r="N114" s="12">
        <f t="shared" si="15"/>
        <v>27400</v>
      </c>
      <c r="O114" s="14">
        <v>1</v>
      </c>
      <c r="P114" s="12">
        <f t="shared" si="12"/>
        <v>76100</v>
      </c>
      <c r="Q114" s="15">
        <f t="shared" si="13"/>
        <v>1.7470156106519743</v>
      </c>
      <c r="R114" s="15">
        <f t="shared" si="14"/>
        <v>0.80348943985307619</v>
      </c>
      <c r="S114" s="10" t="s">
        <v>97</v>
      </c>
    </row>
    <row r="115" spans="1:19" x14ac:dyDescent="0.25">
      <c r="A115" s="10" t="s">
        <v>379</v>
      </c>
      <c r="B115" s="10" t="s">
        <v>380</v>
      </c>
      <c r="C115" s="10" t="s">
        <v>330</v>
      </c>
      <c r="D115" s="11">
        <v>45569</v>
      </c>
      <c r="E115" s="12">
        <v>167000</v>
      </c>
      <c r="F115" s="10" t="s">
        <v>22</v>
      </c>
      <c r="G115" s="10" t="s">
        <v>23</v>
      </c>
      <c r="H115" s="12">
        <v>167000</v>
      </c>
      <c r="I115" s="12">
        <v>74670</v>
      </c>
      <c r="J115" s="13">
        <f t="shared" si="11"/>
        <v>44.712574850299404</v>
      </c>
      <c r="K115" s="12">
        <v>149332</v>
      </c>
      <c r="L115" s="12">
        <f>H115-114332</f>
        <v>52668</v>
      </c>
      <c r="M115" s="12">
        <v>35000</v>
      </c>
      <c r="N115" s="12">
        <f t="shared" si="15"/>
        <v>33400</v>
      </c>
      <c r="O115" s="14">
        <v>1</v>
      </c>
      <c r="P115" s="12">
        <f t="shared" si="12"/>
        <v>52668</v>
      </c>
      <c r="Q115" s="15">
        <f t="shared" si="13"/>
        <v>1.209090909090909</v>
      </c>
      <c r="R115" s="15">
        <f t="shared" si="14"/>
        <v>0.80348943985307619</v>
      </c>
      <c r="S115" s="10" t="s">
        <v>97</v>
      </c>
    </row>
    <row r="116" spans="1:19" x14ac:dyDescent="0.25">
      <c r="A116" s="10" t="s">
        <v>381</v>
      </c>
      <c r="B116" s="10" t="s">
        <v>382</v>
      </c>
      <c r="C116" s="10" t="s">
        <v>330</v>
      </c>
      <c r="D116" s="11">
        <v>45120</v>
      </c>
      <c r="E116" s="12">
        <v>120000</v>
      </c>
      <c r="F116" s="10" t="s">
        <v>22</v>
      </c>
      <c r="G116" s="10" t="s">
        <v>23</v>
      </c>
      <c r="H116" s="12">
        <v>120000</v>
      </c>
      <c r="I116" s="12">
        <v>52600</v>
      </c>
      <c r="J116" s="13">
        <f t="shared" si="11"/>
        <v>43.833333333333336</v>
      </c>
      <c r="K116" s="12">
        <v>105193</v>
      </c>
      <c r="L116" s="12">
        <f>H116-70193</f>
        <v>49807</v>
      </c>
      <c r="M116" s="12">
        <v>35000</v>
      </c>
      <c r="N116" s="12">
        <f t="shared" si="15"/>
        <v>24000</v>
      </c>
      <c r="O116" s="14">
        <v>1</v>
      </c>
      <c r="P116" s="12">
        <f t="shared" si="12"/>
        <v>49807</v>
      </c>
      <c r="Q116" s="15">
        <f t="shared" si="13"/>
        <v>1.1434113865932047</v>
      </c>
      <c r="R116" s="15">
        <f t="shared" si="14"/>
        <v>0.80348943985307619</v>
      </c>
      <c r="S116" s="10" t="s">
        <v>97</v>
      </c>
    </row>
    <row r="117" spans="1:19" x14ac:dyDescent="0.25">
      <c r="A117" s="10" t="s">
        <v>383</v>
      </c>
      <c r="B117" s="10" t="s">
        <v>384</v>
      </c>
      <c r="C117" s="10" t="s">
        <v>330</v>
      </c>
      <c r="D117" s="11">
        <v>45359</v>
      </c>
      <c r="E117" s="12">
        <v>107200</v>
      </c>
      <c r="F117" s="10" t="s">
        <v>22</v>
      </c>
      <c r="G117" s="10" t="s">
        <v>23</v>
      </c>
      <c r="H117" s="12">
        <v>107200</v>
      </c>
      <c r="I117" s="12">
        <v>56330</v>
      </c>
      <c r="J117" s="13">
        <f t="shared" si="11"/>
        <v>52.546641791044777</v>
      </c>
      <c r="K117" s="12">
        <v>112667</v>
      </c>
      <c r="L117" s="12">
        <f>H117-77667</f>
        <v>29533</v>
      </c>
      <c r="M117" s="12">
        <v>35000</v>
      </c>
      <c r="N117" s="12">
        <f t="shared" si="15"/>
        <v>21440</v>
      </c>
      <c r="O117" s="14">
        <v>1</v>
      </c>
      <c r="P117" s="12">
        <f t="shared" si="12"/>
        <v>29533</v>
      </c>
      <c r="Q117" s="15">
        <f t="shared" si="13"/>
        <v>0.67798438934802574</v>
      </c>
      <c r="R117" s="15">
        <f t="shared" si="14"/>
        <v>0.80348943985307619</v>
      </c>
      <c r="S117" s="10" t="s">
        <v>97</v>
      </c>
    </row>
    <row r="118" spans="1:19" x14ac:dyDescent="0.25">
      <c r="A118" s="10" t="s">
        <v>383</v>
      </c>
      <c r="B118" s="10" t="s">
        <v>384</v>
      </c>
      <c r="C118" s="10" t="s">
        <v>330</v>
      </c>
      <c r="D118" s="11">
        <v>45575</v>
      </c>
      <c r="E118" s="12">
        <v>139500</v>
      </c>
      <c r="F118" s="10" t="s">
        <v>22</v>
      </c>
      <c r="G118" s="10" t="s">
        <v>23</v>
      </c>
      <c r="H118" s="12">
        <v>139500</v>
      </c>
      <c r="I118" s="12">
        <v>56330</v>
      </c>
      <c r="J118" s="13">
        <f t="shared" si="11"/>
        <v>40.379928315412187</v>
      </c>
      <c r="K118" s="12">
        <v>112667</v>
      </c>
      <c r="L118" s="12">
        <f>H118-77667</f>
        <v>61833</v>
      </c>
      <c r="M118" s="12">
        <v>35000</v>
      </c>
      <c r="N118" s="12">
        <f t="shared" si="15"/>
        <v>27900</v>
      </c>
      <c r="O118" s="14">
        <v>1</v>
      </c>
      <c r="P118" s="12">
        <f t="shared" si="12"/>
        <v>61833</v>
      </c>
      <c r="Q118" s="15">
        <f t="shared" si="13"/>
        <v>1.4194903581267218</v>
      </c>
      <c r="R118" s="15">
        <f t="shared" si="14"/>
        <v>0.80348943985307619</v>
      </c>
      <c r="S118" s="10" t="s">
        <v>97</v>
      </c>
    </row>
    <row r="119" spans="1:19" x14ac:dyDescent="0.25">
      <c r="A119" s="10" t="s">
        <v>385</v>
      </c>
      <c r="B119" s="10" t="s">
        <v>386</v>
      </c>
      <c r="C119" s="10" t="s">
        <v>330</v>
      </c>
      <c r="D119" s="11">
        <v>45114</v>
      </c>
      <c r="E119" s="12">
        <v>115000</v>
      </c>
      <c r="F119" s="10" t="s">
        <v>22</v>
      </c>
      <c r="G119" s="10" t="s">
        <v>23</v>
      </c>
      <c r="H119" s="12">
        <v>115000</v>
      </c>
      <c r="I119" s="12">
        <v>52600</v>
      </c>
      <c r="J119" s="13">
        <f t="shared" si="11"/>
        <v>45.739130434782609</v>
      </c>
      <c r="K119" s="12">
        <v>105193</v>
      </c>
      <c r="L119" s="12">
        <f>H119-70193</f>
        <v>44807</v>
      </c>
      <c r="M119" s="12">
        <v>35000</v>
      </c>
      <c r="N119" s="12">
        <f t="shared" si="15"/>
        <v>23000</v>
      </c>
      <c r="O119" s="14">
        <v>1</v>
      </c>
      <c r="P119" s="12">
        <f t="shared" si="12"/>
        <v>44807</v>
      </c>
      <c r="Q119" s="15">
        <f t="shared" si="13"/>
        <v>1.0286271808999081</v>
      </c>
      <c r="R119" s="15">
        <f t="shared" si="14"/>
        <v>0.80348943985307619</v>
      </c>
      <c r="S119" s="10" t="s">
        <v>97</v>
      </c>
    </row>
    <row r="120" spans="1:19" x14ac:dyDescent="0.25">
      <c r="A120" s="10" t="s">
        <v>387</v>
      </c>
      <c r="B120" s="10" t="s">
        <v>388</v>
      </c>
      <c r="C120" s="10" t="s">
        <v>330</v>
      </c>
      <c r="D120" s="11">
        <v>45162</v>
      </c>
      <c r="E120" s="12">
        <v>125000</v>
      </c>
      <c r="F120" s="10" t="s">
        <v>22</v>
      </c>
      <c r="G120" s="10" t="s">
        <v>23</v>
      </c>
      <c r="H120" s="12">
        <v>125000</v>
      </c>
      <c r="I120" s="12">
        <v>52600</v>
      </c>
      <c r="J120" s="13">
        <f t="shared" si="11"/>
        <v>42.08</v>
      </c>
      <c r="K120" s="12">
        <v>105193</v>
      </c>
      <c r="L120" s="12">
        <f>H120-70193</f>
        <v>54807</v>
      </c>
      <c r="M120" s="12">
        <v>35000</v>
      </c>
      <c r="N120" s="12">
        <f t="shared" si="15"/>
        <v>25000</v>
      </c>
      <c r="O120" s="14">
        <v>1</v>
      </c>
      <c r="P120" s="12">
        <f t="shared" si="12"/>
        <v>54807</v>
      </c>
      <c r="Q120" s="15">
        <f t="shared" si="13"/>
        <v>1.2581955922865014</v>
      </c>
      <c r="R120" s="15">
        <f t="shared" si="14"/>
        <v>0.80348943985307619</v>
      </c>
      <c r="S120" s="10" t="s">
        <v>97</v>
      </c>
    </row>
    <row r="121" spans="1:19" x14ac:dyDescent="0.25">
      <c r="A121" s="10" t="s">
        <v>389</v>
      </c>
      <c r="B121" s="10" t="s">
        <v>390</v>
      </c>
      <c r="C121" s="10" t="s">
        <v>330</v>
      </c>
      <c r="D121" s="11">
        <v>45100</v>
      </c>
      <c r="E121" s="12">
        <v>125000</v>
      </c>
      <c r="F121" s="10" t="s">
        <v>22</v>
      </c>
      <c r="G121" s="10" t="s">
        <v>23</v>
      </c>
      <c r="H121" s="12">
        <v>125000</v>
      </c>
      <c r="I121" s="12">
        <v>52600</v>
      </c>
      <c r="J121" s="13">
        <f t="shared" si="11"/>
        <v>42.08</v>
      </c>
      <c r="K121" s="12">
        <v>105193</v>
      </c>
      <c r="L121" s="12">
        <f>H121-70193</f>
        <v>54807</v>
      </c>
      <c r="M121" s="12">
        <v>35000</v>
      </c>
      <c r="N121" s="12">
        <f t="shared" si="15"/>
        <v>25000</v>
      </c>
      <c r="O121" s="14">
        <v>1</v>
      </c>
      <c r="P121" s="12">
        <f t="shared" si="12"/>
        <v>54807</v>
      </c>
      <c r="Q121" s="15">
        <f t="shared" si="13"/>
        <v>1.2581955922865014</v>
      </c>
      <c r="R121" s="15">
        <f t="shared" si="14"/>
        <v>0.80348943985307619</v>
      </c>
      <c r="S121" s="10" t="s">
        <v>97</v>
      </c>
    </row>
    <row r="122" spans="1:19" x14ac:dyDescent="0.25">
      <c r="A122" s="10" t="s">
        <v>391</v>
      </c>
      <c r="B122" s="10" t="s">
        <v>392</v>
      </c>
      <c r="C122" s="10" t="s">
        <v>330</v>
      </c>
      <c r="D122" s="11">
        <v>45380</v>
      </c>
      <c r="E122" s="12">
        <v>150000</v>
      </c>
      <c r="F122" s="10" t="s">
        <v>29</v>
      </c>
      <c r="G122" s="10" t="s">
        <v>23</v>
      </c>
      <c r="H122" s="12">
        <v>150000</v>
      </c>
      <c r="I122" s="12">
        <v>72970</v>
      </c>
      <c r="J122" s="13">
        <f t="shared" si="11"/>
        <v>48.646666666666668</v>
      </c>
      <c r="K122" s="12">
        <v>145939</v>
      </c>
      <c r="L122" s="12">
        <f>H122-110939</f>
        <v>39061</v>
      </c>
      <c r="M122" s="12">
        <v>35000</v>
      </c>
      <c r="N122" s="12">
        <f t="shared" si="15"/>
        <v>30000</v>
      </c>
      <c r="O122" s="14">
        <v>1</v>
      </c>
      <c r="P122" s="12">
        <f t="shared" si="12"/>
        <v>39061</v>
      </c>
      <c r="Q122" s="15">
        <f t="shared" si="13"/>
        <v>0.89671717171717169</v>
      </c>
      <c r="R122" s="15">
        <f t="shared" si="14"/>
        <v>0.80348943985307619</v>
      </c>
      <c r="S122" s="10" t="s">
        <v>97</v>
      </c>
    </row>
    <row r="123" spans="1:19" x14ac:dyDescent="0.25">
      <c r="A123" s="10" t="s">
        <v>393</v>
      </c>
      <c r="B123" s="10" t="s">
        <v>394</v>
      </c>
      <c r="C123" s="10" t="s">
        <v>330</v>
      </c>
      <c r="D123" s="11">
        <v>45646</v>
      </c>
      <c r="E123" s="12">
        <v>164500</v>
      </c>
      <c r="F123" s="10" t="s">
        <v>22</v>
      </c>
      <c r="G123" s="10" t="s">
        <v>23</v>
      </c>
      <c r="H123" s="12">
        <v>164500</v>
      </c>
      <c r="I123" s="12">
        <v>72970</v>
      </c>
      <c r="J123" s="13">
        <f t="shared" si="11"/>
        <v>44.358662613981764</v>
      </c>
      <c r="K123" s="12">
        <v>145939</v>
      </c>
      <c r="L123" s="12">
        <f>H123-110939</f>
        <v>53561</v>
      </c>
      <c r="M123" s="12">
        <v>35000</v>
      </c>
      <c r="N123" s="12">
        <f t="shared" si="15"/>
        <v>32900</v>
      </c>
      <c r="O123" s="14">
        <v>1</v>
      </c>
      <c r="P123" s="12">
        <f t="shared" si="12"/>
        <v>53561</v>
      </c>
      <c r="Q123" s="15">
        <f t="shared" si="13"/>
        <v>1.229591368227732</v>
      </c>
      <c r="R123" s="15">
        <f t="shared" si="14"/>
        <v>0.80348943985307619</v>
      </c>
      <c r="S123" s="10" t="s">
        <v>97</v>
      </c>
    </row>
    <row r="124" spans="1:19" x14ac:dyDescent="0.25">
      <c r="A124" s="10" t="s">
        <v>395</v>
      </c>
      <c r="B124" s="10" t="s">
        <v>396</v>
      </c>
      <c r="C124" s="10" t="s">
        <v>330</v>
      </c>
      <c r="D124" s="11">
        <v>45223</v>
      </c>
      <c r="E124" s="12">
        <v>140000</v>
      </c>
      <c r="F124" s="10" t="s">
        <v>29</v>
      </c>
      <c r="G124" s="10" t="s">
        <v>23</v>
      </c>
      <c r="H124" s="12">
        <v>140000</v>
      </c>
      <c r="I124" s="12">
        <v>72970</v>
      </c>
      <c r="J124" s="13">
        <f t="shared" si="11"/>
        <v>52.121428571428574</v>
      </c>
      <c r="K124" s="12">
        <v>145939</v>
      </c>
      <c r="L124" s="12">
        <f>H124-110939</f>
        <v>29061</v>
      </c>
      <c r="M124" s="12">
        <v>35000</v>
      </c>
      <c r="N124" s="12">
        <f t="shared" si="15"/>
        <v>28000</v>
      </c>
      <c r="O124" s="14">
        <v>1</v>
      </c>
      <c r="P124" s="12">
        <f t="shared" si="12"/>
        <v>29061</v>
      </c>
      <c r="Q124" s="15">
        <f t="shared" si="13"/>
        <v>0.66714876033057846</v>
      </c>
      <c r="R124" s="15">
        <f t="shared" si="14"/>
        <v>0.80348943985307619</v>
      </c>
      <c r="S124" s="10" t="s">
        <v>97</v>
      </c>
    </row>
    <row r="125" spans="1:19" x14ac:dyDescent="0.25">
      <c r="A125" s="10" t="s">
        <v>397</v>
      </c>
      <c r="B125" s="10" t="s">
        <v>398</v>
      </c>
      <c r="C125" s="10" t="s">
        <v>330</v>
      </c>
      <c r="D125" s="11">
        <v>45030</v>
      </c>
      <c r="E125" s="12">
        <v>142500</v>
      </c>
      <c r="F125" s="10" t="s">
        <v>22</v>
      </c>
      <c r="G125" s="10" t="s">
        <v>23</v>
      </c>
      <c r="H125" s="12">
        <v>142500</v>
      </c>
      <c r="I125" s="12">
        <v>67450</v>
      </c>
      <c r="J125" s="13">
        <f t="shared" si="11"/>
        <v>47.333333333333336</v>
      </c>
      <c r="K125" s="12">
        <v>134903</v>
      </c>
      <c r="L125" s="12">
        <f>H125-99903</f>
        <v>42597</v>
      </c>
      <c r="M125" s="12">
        <v>35000</v>
      </c>
      <c r="N125" s="12">
        <f t="shared" si="15"/>
        <v>28500</v>
      </c>
      <c r="O125" s="14">
        <v>1</v>
      </c>
      <c r="P125" s="12">
        <f t="shared" si="12"/>
        <v>42597</v>
      </c>
      <c r="Q125" s="15">
        <f t="shared" si="13"/>
        <v>0.97789256198347108</v>
      </c>
      <c r="R125" s="15">
        <f t="shared" si="14"/>
        <v>0.80348943985307619</v>
      </c>
      <c r="S125" s="10" t="s">
        <v>97</v>
      </c>
    </row>
    <row r="126" spans="1:19" x14ac:dyDescent="0.25">
      <c r="A126" s="10" t="s">
        <v>397</v>
      </c>
      <c r="B126" s="10" t="s">
        <v>398</v>
      </c>
      <c r="C126" s="10" t="s">
        <v>330</v>
      </c>
      <c r="D126" s="11">
        <v>45030</v>
      </c>
      <c r="E126" s="12">
        <v>142500</v>
      </c>
      <c r="F126" s="10" t="s">
        <v>29</v>
      </c>
      <c r="G126" s="10" t="s">
        <v>23</v>
      </c>
      <c r="H126" s="12">
        <v>142500</v>
      </c>
      <c r="I126" s="12">
        <v>67450</v>
      </c>
      <c r="J126" s="13">
        <f t="shared" si="11"/>
        <v>47.333333333333336</v>
      </c>
      <c r="K126" s="12">
        <v>134903</v>
      </c>
      <c r="L126" s="12">
        <f>H126-99903</f>
        <v>42597</v>
      </c>
      <c r="M126" s="12">
        <v>35000</v>
      </c>
      <c r="N126" s="12">
        <f t="shared" si="15"/>
        <v>28500</v>
      </c>
      <c r="O126" s="14">
        <v>1</v>
      </c>
      <c r="P126" s="12">
        <f t="shared" si="12"/>
        <v>42597</v>
      </c>
      <c r="Q126" s="15">
        <f t="shared" si="13"/>
        <v>0.97789256198347108</v>
      </c>
      <c r="R126" s="15">
        <f t="shared" si="14"/>
        <v>0.80348943985307619</v>
      </c>
      <c r="S126" s="10" t="s">
        <v>97</v>
      </c>
    </row>
    <row r="127" spans="1:19" x14ac:dyDescent="0.25">
      <c r="A127" s="10" t="s">
        <v>399</v>
      </c>
      <c r="B127" s="10" t="s">
        <v>400</v>
      </c>
      <c r="C127" s="10" t="s">
        <v>330</v>
      </c>
      <c r="D127" s="11">
        <v>45533</v>
      </c>
      <c r="E127" s="12">
        <v>175000</v>
      </c>
      <c r="F127" s="10" t="s">
        <v>22</v>
      </c>
      <c r="G127" s="10" t="s">
        <v>23</v>
      </c>
      <c r="H127" s="12">
        <v>175000</v>
      </c>
      <c r="I127" s="12">
        <v>74270</v>
      </c>
      <c r="J127" s="13">
        <f t="shared" si="11"/>
        <v>42.44</v>
      </c>
      <c r="K127" s="12">
        <v>148541</v>
      </c>
      <c r="L127" s="12">
        <f>H127-113541</f>
        <v>61459</v>
      </c>
      <c r="M127" s="12">
        <v>35000</v>
      </c>
      <c r="N127" s="12">
        <f t="shared" si="15"/>
        <v>35000</v>
      </c>
      <c r="O127" s="14">
        <v>1</v>
      </c>
      <c r="P127" s="12">
        <f t="shared" si="12"/>
        <v>61459</v>
      </c>
      <c r="Q127" s="15">
        <f t="shared" si="13"/>
        <v>1.4109044995408633</v>
      </c>
      <c r="R127" s="15">
        <f t="shared" si="14"/>
        <v>0.80348943985307619</v>
      </c>
      <c r="S127" s="10" t="s">
        <v>97</v>
      </c>
    </row>
    <row r="128" spans="1:19" x14ac:dyDescent="0.25">
      <c r="A128" s="10" t="s">
        <v>401</v>
      </c>
      <c r="B128" s="10" t="s">
        <v>402</v>
      </c>
      <c r="C128" s="10" t="s">
        <v>330</v>
      </c>
      <c r="D128" s="11">
        <v>45670</v>
      </c>
      <c r="E128" s="12">
        <v>139000</v>
      </c>
      <c r="F128" s="10" t="s">
        <v>22</v>
      </c>
      <c r="G128" s="10" t="s">
        <v>23</v>
      </c>
      <c r="H128" s="12">
        <v>139000</v>
      </c>
      <c r="I128" s="12">
        <v>57100</v>
      </c>
      <c r="J128" s="13">
        <f t="shared" si="11"/>
        <v>41.079136690647481</v>
      </c>
      <c r="K128" s="12">
        <v>114192</v>
      </c>
      <c r="L128" s="12">
        <f>H128-79192</f>
        <v>59808</v>
      </c>
      <c r="M128" s="12">
        <v>35000</v>
      </c>
      <c r="N128" s="12">
        <f t="shared" si="15"/>
        <v>27800</v>
      </c>
      <c r="O128" s="14">
        <v>1</v>
      </c>
      <c r="P128" s="12">
        <f t="shared" si="12"/>
        <v>59808</v>
      </c>
      <c r="Q128" s="15">
        <f t="shared" si="13"/>
        <v>1.3730027548209367</v>
      </c>
      <c r="R128" s="15">
        <f t="shared" si="14"/>
        <v>0.80348943985307619</v>
      </c>
      <c r="S128" s="10" t="s">
        <v>97</v>
      </c>
    </row>
    <row r="129" spans="1:19" x14ac:dyDescent="0.25">
      <c r="A129" s="10" t="s">
        <v>403</v>
      </c>
      <c r="B129" s="10" t="s">
        <v>404</v>
      </c>
      <c r="C129" s="10" t="s">
        <v>330</v>
      </c>
      <c r="D129" s="11">
        <v>45635</v>
      </c>
      <c r="E129" s="12">
        <v>118000</v>
      </c>
      <c r="F129" s="10" t="s">
        <v>29</v>
      </c>
      <c r="G129" s="10" t="s">
        <v>23</v>
      </c>
      <c r="H129" s="12">
        <v>118000</v>
      </c>
      <c r="I129" s="12">
        <v>57100</v>
      </c>
      <c r="J129" s="13">
        <f t="shared" si="11"/>
        <v>48.389830508474574</v>
      </c>
      <c r="K129" s="12">
        <v>114192</v>
      </c>
      <c r="L129" s="12">
        <f>H129-79192</f>
        <v>38808</v>
      </c>
      <c r="M129" s="12">
        <v>35000</v>
      </c>
      <c r="N129" s="12">
        <f t="shared" si="15"/>
        <v>23600</v>
      </c>
      <c r="O129" s="14">
        <v>1</v>
      </c>
      <c r="P129" s="12">
        <f t="shared" si="12"/>
        <v>38808</v>
      </c>
      <c r="Q129" s="15">
        <f t="shared" si="13"/>
        <v>0.89090909090909087</v>
      </c>
      <c r="R129" s="15">
        <f t="shared" si="14"/>
        <v>0.80348943985307619</v>
      </c>
      <c r="S129" s="10" t="s">
        <v>97</v>
      </c>
    </row>
    <row r="130" spans="1:19" x14ac:dyDescent="0.25">
      <c r="A130" s="10" t="s">
        <v>405</v>
      </c>
      <c r="B130" s="10" t="s">
        <v>406</v>
      </c>
      <c r="C130" s="10" t="s">
        <v>330</v>
      </c>
      <c r="D130" s="11">
        <v>45687</v>
      </c>
      <c r="E130" s="12">
        <v>150000</v>
      </c>
      <c r="F130" s="10" t="s">
        <v>22</v>
      </c>
      <c r="G130" s="10" t="s">
        <v>23</v>
      </c>
      <c r="H130" s="12">
        <v>150000</v>
      </c>
      <c r="I130" s="12">
        <v>79040</v>
      </c>
      <c r="J130" s="13">
        <f t="shared" si="11"/>
        <v>52.693333333333335</v>
      </c>
      <c r="K130" s="12">
        <v>158075</v>
      </c>
      <c r="L130" s="12">
        <f>H130-123075</f>
        <v>26925</v>
      </c>
      <c r="M130" s="12">
        <v>35000</v>
      </c>
      <c r="N130" s="12">
        <f t="shared" si="15"/>
        <v>30000</v>
      </c>
      <c r="O130" s="14">
        <v>1</v>
      </c>
      <c r="P130" s="12">
        <f t="shared" si="12"/>
        <v>26925</v>
      </c>
      <c r="Q130" s="15">
        <f t="shared" si="13"/>
        <v>0.61811294765840219</v>
      </c>
      <c r="R130" s="15">
        <f t="shared" si="14"/>
        <v>0.80348943985307619</v>
      </c>
      <c r="S130" s="10" t="s">
        <v>97</v>
      </c>
    </row>
    <row r="131" spans="1:19" x14ac:dyDescent="0.25">
      <c r="A131" s="10" t="s">
        <v>407</v>
      </c>
      <c r="B131" s="10" t="s">
        <v>408</v>
      </c>
      <c r="C131" s="10" t="s">
        <v>330</v>
      </c>
      <c r="D131" s="11">
        <v>45397</v>
      </c>
      <c r="E131" s="12">
        <v>160000</v>
      </c>
      <c r="F131" s="10" t="s">
        <v>29</v>
      </c>
      <c r="G131" s="10" t="s">
        <v>23</v>
      </c>
      <c r="H131" s="12">
        <v>160000</v>
      </c>
      <c r="I131" s="12">
        <v>72970</v>
      </c>
      <c r="J131" s="13">
        <f t="shared" si="11"/>
        <v>45.606249999999996</v>
      </c>
      <c r="K131" s="12">
        <v>145939</v>
      </c>
      <c r="L131" s="12">
        <f>H131-110939</f>
        <v>49061</v>
      </c>
      <c r="M131" s="12">
        <v>35000</v>
      </c>
      <c r="N131" s="12">
        <f t="shared" si="15"/>
        <v>32000</v>
      </c>
      <c r="O131" s="14">
        <v>1</v>
      </c>
      <c r="P131" s="12">
        <f t="shared" si="12"/>
        <v>49061</v>
      </c>
      <c r="Q131" s="15">
        <f t="shared" si="13"/>
        <v>1.126285583103765</v>
      </c>
      <c r="R131" s="15">
        <f t="shared" si="14"/>
        <v>0.80348943985307619</v>
      </c>
      <c r="S131" s="10" t="s">
        <v>97</v>
      </c>
    </row>
    <row r="132" spans="1:19" x14ac:dyDescent="0.25">
      <c r="A132" s="10" t="s">
        <v>409</v>
      </c>
      <c r="B132" s="10" t="s">
        <v>410</v>
      </c>
      <c r="C132" s="10" t="s">
        <v>330</v>
      </c>
      <c r="D132" s="11">
        <v>45219</v>
      </c>
      <c r="E132" s="12">
        <v>165777</v>
      </c>
      <c r="F132" s="10" t="s">
        <v>29</v>
      </c>
      <c r="G132" s="10" t="s">
        <v>23</v>
      </c>
      <c r="H132" s="12">
        <v>165777</v>
      </c>
      <c r="I132" s="12">
        <v>72440</v>
      </c>
      <c r="J132" s="13">
        <f t="shared" si="11"/>
        <v>43.697255952273231</v>
      </c>
      <c r="K132" s="12">
        <v>144888</v>
      </c>
      <c r="L132" s="12">
        <f>H132-109888</f>
        <v>55889</v>
      </c>
      <c r="M132" s="12">
        <v>35000</v>
      </c>
      <c r="N132" s="12">
        <f t="shared" si="15"/>
        <v>33155.4</v>
      </c>
      <c r="O132" s="14">
        <v>1</v>
      </c>
      <c r="P132" s="12">
        <f t="shared" si="12"/>
        <v>55889</v>
      </c>
      <c r="Q132" s="15">
        <f t="shared" si="13"/>
        <v>1.2830348943985308</v>
      </c>
      <c r="R132" s="15">
        <f t="shared" si="14"/>
        <v>0.80348943985307619</v>
      </c>
      <c r="S132" s="10" t="s">
        <v>97</v>
      </c>
    </row>
    <row r="133" spans="1:19" x14ac:dyDescent="0.25">
      <c r="A133" s="10" t="s">
        <v>409</v>
      </c>
      <c r="B133" s="10" t="s">
        <v>410</v>
      </c>
      <c r="C133" s="10" t="s">
        <v>330</v>
      </c>
      <c r="D133" s="11">
        <v>45471</v>
      </c>
      <c r="E133" s="12">
        <v>180000</v>
      </c>
      <c r="F133" s="10" t="s">
        <v>29</v>
      </c>
      <c r="G133" s="10" t="s">
        <v>23</v>
      </c>
      <c r="H133" s="12">
        <v>180000</v>
      </c>
      <c r="I133" s="12">
        <v>72440</v>
      </c>
      <c r="J133" s="13">
        <f t="shared" si="11"/>
        <v>40.244444444444447</v>
      </c>
      <c r="K133" s="12">
        <v>144888</v>
      </c>
      <c r="L133" s="12">
        <f>H133-109888</f>
        <v>70112</v>
      </c>
      <c r="M133" s="12">
        <v>35000</v>
      </c>
      <c r="N133" s="12">
        <f t="shared" si="15"/>
        <v>36000</v>
      </c>
      <c r="O133" s="14">
        <v>1</v>
      </c>
      <c r="P133" s="12">
        <f t="shared" si="12"/>
        <v>70112</v>
      </c>
      <c r="Q133" s="15">
        <f t="shared" si="13"/>
        <v>1.6095500459136822</v>
      </c>
      <c r="R133" s="15">
        <f t="shared" si="14"/>
        <v>0.80348943985307619</v>
      </c>
      <c r="S133" s="10" t="s">
        <v>97</v>
      </c>
    </row>
    <row r="134" spans="1:19" x14ac:dyDescent="0.25">
      <c r="A134" s="10" t="s">
        <v>411</v>
      </c>
      <c r="B134" s="10" t="s">
        <v>412</v>
      </c>
      <c r="C134" s="10" t="s">
        <v>330</v>
      </c>
      <c r="D134" s="11">
        <v>45021</v>
      </c>
      <c r="E134" s="12">
        <v>148000</v>
      </c>
      <c r="F134" s="10" t="s">
        <v>22</v>
      </c>
      <c r="G134" s="10" t="s">
        <v>23</v>
      </c>
      <c r="H134" s="12">
        <v>148000</v>
      </c>
      <c r="I134" s="12">
        <v>72970</v>
      </c>
      <c r="J134" s="13">
        <f t="shared" si="11"/>
        <v>49.304054054054056</v>
      </c>
      <c r="K134" s="12">
        <v>145939</v>
      </c>
      <c r="L134" s="12">
        <f>H134-110939</f>
        <v>37061</v>
      </c>
      <c r="M134" s="12">
        <v>35000</v>
      </c>
      <c r="N134" s="12">
        <f t="shared" si="15"/>
        <v>29600</v>
      </c>
      <c r="O134" s="14">
        <v>1</v>
      </c>
      <c r="P134" s="12">
        <f t="shared" si="12"/>
        <v>37061</v>
      </c>
      <c r="Q134" s="15">
        <f t="shared" si="13"/>
        <v>0.85080348943985307</v>
      </c>
      <c r="R134" s="15">
        <f t="shared" si="14"/>
        <v>0.80348943985307619</v>
      </c>
      <c r="S134" s="10" t="s">
        <v>97</v>
      </c>
    </row>
    <row r="135" spans="1:19" x14ac:dyDescent="0.25">
      <c r="A135" s="10" t="s">
        <v>413</v>
      </c>
      <c r="B135" s="10" t="s">
        <v>414</v>
      </c>
      <c r="C135" s="10" t="s">
        <v>330</v>
      </c>
      <c r="D135" s="11">
        <v>45394</v>
      </c>
      <c r="E135" s="12">
        <v>168000</v>
      </c>
      <c r="F135" s="10" t="s">
        <v>29</v>
      </c>
      <c r="G135" s="10" t="s">
        <v>23</v>
      </c>
      <c r="H135" s="12">
        <v>168000</v>
      </c>
      <c r="I135" s="12">
        <v>72970</v>
      </c>
      <c r="J135" s="13">
        <f t="shared" si="11"/>
        <v>43.43452380952381</v>
      </c>
      <c r="K135" s="12">
        <v>145939</v>
      </c>
      <c r="L135" s="12">
        <f>H135-110939</f>
        <v>57061</v>
      </c>
      <c r="M135" s="12">
        <v>35000</v>
      </c>
      <c r="N135" s="12">
        <f t="shared" si="15"/>
        <v>33600</v>
      </c>
      <c r="O135" s="14">
        <v>1</v>
      </c>
      <c r="P135" s="12">
        <f t="shared" si="12"/>
        <v>57061</v>
      </c>
      <c r="Q135" s="15">
        <f t="shared" si="13"/>
        <v>1.3099403122130395</v>
      </c>
      <c r="R135" s="15">
        <f t="shared" si="14"/>
        <v>0.80348943985307619</v>
      </c>
      <c r="S135" s="10" t="s">
        <v>97</v>
      </c>
    </row>
    <row r="136" spans="1:19" x14ac:dyDescent="0.25">
      <c r="A136" s="10" t="s">
        <v>415</v>
      </c>
      <c r="B136" s="10" t="s">
        <v>416</v>
      </c>
      <c r="C136" s="10" t="s">
        <v>330</v>
      </c>
      <c r="D136" s="11">
        <v>45152</v>
      </c>
      <c r="E136" s="12">
        <v>160000</v>
      </c>
      <c r="F136" s="10" t="s">
        <v>22</v>
      </c>
      <c r="G136" s="10" t="s">
        <v>23</v>
      </c>
      <c r="H136" s="12">
        <v>160000</v>
      </c>
      <c r="I136" s="12">
        <v>72700</v>
      </c>
      <c r="J136" s="13">
        <f t="shared" si="11"/>
        <v>45.4375</v>
      </c>
      <c r="K136" s="12">
        <v>145391</v>
      </c>
      <c r="L136" s="12">
        <f>H136-110391</f>
        <v>49609</v>
      </c>
      <c r="M136" s="12">
        <v>35000</v>
      </c>
      <c r="N136" s="12">
        <f t="shared" si="15"/>
        <v>32000</v>
      </c>
      <c r="O136" s="14">
        <v>1</v>
      </c>
      <c r="P136" s="12">
        <f t="shared" si="12"/>
        <v>49609</v>
      </c>
      <c r="Q136" s="15">
        <f t="shared" si="13"/>
        <v>1.1388659320477503</v>
      </c>
      <c r="R136" s="15">
        <f t="shared" si="14"/>
        <v>0.80348943985307619</v>
      </c>
      <c r="S136" s="10" t="s">
        <v>97</v>
      </c>
    </row>
    <row r="137" spans="1:19" x14ac:dyDescent="0.25">
      <c r="A137" s="10" t="s">
        <v>417</v>
      </c>
      <c r="B137" s="10" t="s">
        <v>418</v>
      </c>
      <c r="C137" s="10" t="s">
        <v>330</v>
      </c>
      <c r="D137" s="11">
        <v>45260</v>
      </c>
      <c r="E137" s="12">
        <v>165000</v>
      </c>
      <c r="F137" s="10" t="s">
        <v>29</v>
      </c>
      <c r="G137" s="10" t="s">
        <v>23</v>
      </c>
      <c r="H137" s="12">
        <v>165000</v>
      </c>
      <c r="I137" s="12">
        <v>72700</v>
      </c>
      <c r="J137" s="13">
        <f t="shared" si="11"/>
        <v>44.060606060606062</v>
      </c>
      <c r="K137" s="12">
        <v>145391</v>
      </c>
      <c r="L137" s="12">
        <f>H137-110391</f>
        <v>54609</v>
      </c>
      <c r="M137" s="12">
        <v>35000</v>
      </c>
      <c r="N137" s="12">
        <f t="shared" si="15"/>
        <v>33000</v>
      </c>
      <c r="O137" s="14">
        <v>1</v>
      </c>
      <c r="P137" s="12">
        <f t="shared" si="12"/>
        <v>54609</v>
      </c>
      <c r="Q137" s="15">
        <f t="shared" si="13"/>
        <v>1.2536501377410467</v>
      </c>
      <c r="R137" s="15">
        <f t="shared" si="14"/>
        <v>0.80348943985307619</v>
      </c>
      <c r="S137" s="10" t="s">
        <v>97</v>
      </c>
    </row>
    <row r="138" spans="1:19" x14ac:dyDescent="0.25">
      <c r="A138" s="10" t="s">
        <v>419</v>
      </c>
      <c r="B138" s="10" t="s">
        <v>420</v>
      </c>
      <c r="C138" s="10" t="s">
        <v>330</v>
      </c>
      <c r="D138" s="11">
        <v>45594</v>
      </c>
      <c r="E138" s="12">
        <v>159000</v>
      </c>
      <c r="F138" s="10" t="s">
        <v>22</v>
      </c>
      <c r="G138" s="10" t="s">
        <v>23</v>
      </c>
      <c r="H138" s="12">
        <v>159000</v>
      </c>
      <c r="I138" s="12">
        <v>72440</v>
      </c>
      <c r="J138" s="13">
        <f t="shared" si="11"/>
        <v>45.559748427672957</v>
      </c>
      <c r="K138" s="12">
        <v>144888</v>
      </c>
      <c r="L138" s="12">
        <f>H138-109888</f>
        <v>49112</v>
      </c>
      <c r="M138" s="12">
        <v>35000</v>
      </c>
      <c r="N138" s="12">
        <f t="shared" si="15"/>
        <v>31800</v>
      </c>
      <c r="O138" s="14">
        <v>1</v>
      </c>
      <c r="P138" s="12">
        <f t="shared" si="12"/>
        <v>49112</v>
      </c>
      <c r="Q138" s="15">
        <f t="shared" si="13"/>
        <v>1.1274563820018366</v>
      </c>
      <c r="R138" s="15">
        <f t="shared" si="14"/>
        <v>0.80348943985307619</v>
      </c>
      <c r="S138" s="10" t="s">
        <v>97</v>
      </c>
    </row>
    <row r="139" spans="1:19" ht="15.75" thickBot="1" x14ac:dyDescent="0.3">
      <c r="A139" s="16"/>
      <c r="B139" s="16"/>
      <c r="C139" s="16"/>
      <c r="D139" s="17"/>
      <c r="E139" s="18"/>
      <c r="F139" s="16"/>
      <c r="G139" s="16"/>
      <c r="H139" s="18"/>
      <c r="I139" s="18"/>
      <c r="J139" s="19"/>
      <c r="K139" s="18"/>
      <c r="L139" s="18">
        <f>AVERAGE(L87:L138)</f>
        <v>54604.423076923078</v>
      </c>
      <c r="M139" s="18">
        <f>AVERAGE(M87:M138)</f>
        <v>35000</v>
      </c>
      <c r="N139" s="18">
        <f>AVERAGE(N87:N138)</f>
        <v>28936.834615384614</v>
      </c>
      <c r="O139" s="20"/>
      <c r="P139" s="18"/>
      <c r="Q139" s="21">
        <f>AVERAGE(Q87:Q138)</f>
        <v>1.253545066045066</v>
      </c>
      <c r="R139" s="21">
        <f>AVERAGE(R87:R138)</f>
        <v>0.80348943985307608</v>
      </c>
      <c r="S139" s="16"/>
    </row>
    <row r="140" spans="1:19" ht="15.75" thickTop="1" x14ac:dyDescent="0.25">
      <c r="A140" s="10"/>
      <c r="B140" s="10"/>
      <c r="C140" s="10"/>
      <c r="D140" s="11"/>
      <c r="E140" s="12"/>
      <c r="F140" s="10"/>
      <c r="G140" s="10"/>
      <c r="H140" s="12"/>
      <c r="I140" s="12"/>
      <c r="J140" s="13"/>
      <c r="K140" s="12"/>
      <c r="L140" s="12"/>
      <c r="M140" s="12"/>
      <c r="N140" s="12"/>
      <c r="O140" s="14"/>
      <c r="P140" s="12"/>
      <c r="Q140" s="15"/>
      <c r="R140" s="15"/>
      <c r="S140" s="10"/>
    </row>
    <row r="141" spans="1:19" x14ac:dyDescent="0.25">
      <c r="A141" s="10"/>
      <c r="B141" s="10"/>
      <c r="C141" s="10"/>
      <c r="D141" s="11"/>
      <c r="E141" s="12"/>
      <c r="F141" s="10"/>
      <c r="G141" s="10"/>
      <c r="H141" s="12"/>
      <c r="I141" s="12"/>
      <c r="J141" s="13"/>
      <c r="K141" s="12"/>
      <c r="L141" s="12"/>
      <c r="M141" s="12"/>
      <c r="N141" s="12"/>
      <c r="O141" s="14"/>
      <c r="P141" s="12"/>
      <c r="Q141" s="15"/>
      <c r="R141" s="15"/>
      <c r="S141" s="10"/>
    </row>
    <row r="142" spans="1:19" x14ac:dyDescent="0.25">
      <c r="A142" s="10" t="s">
        <v>421</v>
      </c>
      <c r="B142" s="10" t="s">
        <v>422</v>
      </c>
      <c r="C142" s="10" t="s">
        <v>423</v>
      </c>
      <c r="D142" s="11">
        <v>45071</v>
      </c>
      <c r="E142" s="12">
        <v>245000</v>
      </c>
      <c r="F142" s="10" t="s">
        <v>22</v>
      </c>
      <c r="G142" s="10" t="s">
        <v>23</v>
      </c>
      <c r="H142" s="12">
        <v>245000</v>
      </c>
      <c r="I142" s="12">
        <v>93290</v>
      </c>
      <c r="J142" s="13">
        <f>I142/H142*100</f>
        <v>38.077551020408166</v>
      </c>
      <c r="K142" s="12">
        <v>186570</v>
      </c>
      <c r="L142" s="12">
        <f>H142-141570</f>
        <v>103430</v>
      </c>
      <c r="M142" s="12">
        <v>45000</v>
      </c>
      <c r="N142" s="12">
        <f>E142*0.2</f>
        <v>49000</v>
      </c>
      <c r="O142" s="14">
        <v>1</v>
      </c>
      <c r="P142" s="12">
        <f>L142/O142</f>
        <v>103430</v>
      </c>
      <c r="Q142" s="15">
        <f>L142/O142/43560</f>
        <v>2.3744260789715335</v>
      </c>
      <c r="R142" s="15">
        <f>M142/O142/43560</f>
        <v>1.0330578512396693</v>
      </c>
      <c r="S142" s="10" t="s">
        <v>97</v>
      </c>
    </row>
    <row r="143" spans="1:19" x14ac:dyDescent="0.25">
      <c r="A143" s="10" t="s">
        <v>424</v>
      </c>
      <c r="B143" s="10" t="s">
        <v>425</v>
      </c>
      <c r="C143" s="10" t="s">
        <v>423</v>
      </c>
      <c r="D143" s="11">
        <v>45211</v>
      </c>
      <c r="E143" s="12">
        <v>185000</v>
      </c>
      <c r="F143" s="10" t="s">
        <v>29</v>
      </c>
      <c r="G143" s="10" t="s">
        <v>23</v>
      </c>
      <c r="H143" s="12">
        <v>185000</v>
      </c>
      <c r="I143" s="12">
        <v>90910</v>
      </c>
      <c r="J143" s="13">
        <f>I143/H143*100</f>
        <v>49.140540540540542</v>
      </c>
      <c r="K143" s="12">
        <v>181816</v>
      </c>
      <c r="L143" s="12">
        <f>H143-136816</f>
        <v>48184</v>
      </c>
      <c r="M143" s="12">
        <v>45000</v>
      </c>
      <c r="N143" s="12">
        <f t="shared" ref="N143:N146" si="17">E143*0.2</f>
        <v>37000</v>
      </c>
      <c r="O143" s="14">
        <v>1</v>
      </c>
      <c r="P143" s="12">
        <f>L143/O143</f>
        <v>48184</v>
      </c>
      <c r="Q143" s="15">
        <f>L143/O143/43560</f>
        <v>1.1061524334251607</v>
      </c>
      <c r="R143" s="15">
        <f>M143/O143/43560</f>
        <v>1.0330578512396693</v>
      </c>
      <c r="S143" s="10" t="s">
        <v>97</v>
      </c>
    </row>
    <row r="144" spans="1:19" x14ac:dyDescent="0.25">
      <c r="A144" s="10" t="s">
        <v>426</v>
      </c>
      <c r="B144" s="10" t="s">
        <v>427</v>
      </c>
      <c r="C144" s="10" t="s">
        <v>423</v>
      </c>
      <c r="D144" s="11">
        <v>45099</v>
      </c>
      <c r="E144" s="12">
        <v>200000</v>
      </c>
      <c r="F144" s="10" t="s">
        <v>29</v>
      </c>
      <c r="G144" s="10" t="s">
        <v>23</v>
      </c>
      <c r="H144" s="12">
        <v>200000</v>
      </c>
      <c r="I144" s="12">
        <v>93180</v>
      </c>
      <c r="J144" s="13">
        <f>I144/H144*100</f>
        <v>46.589999999999996</v>
      </c>
      <c r="K144" s="12">
        <v>186359</v>
      </c>
      <c r="L144" s="12">
        <f>H144-141359</f>
        <v>58641</v>
      </c>
      <c r="M144" s="12">
        <v>45000</v>
      </c>
      <c r="N144" s="12">
        <f t="shared" si="17"/>
        <v>40000</v>
      </c>
      <c r="O144" s="14">
        <v>1</v>
      </c>
      <c r="P144" s="12">
        <f>L144/O144</f>
        <v>58641</v>
      </c>
      <c r="Q144" s="15">
        <f>L144/O144/43560</f>
        <v>1.3462121212121212</v>
      </c>
      <c r="R144" s="15">
        <f>M144/O144/43560</f>
        <v>1.0330578512396693</v>
      </c>
      <c r="S144" s="10" t="s">
        <v>97</v>
      </c>
    </row>
    <row r="145" spans="1:19" x14ac:dyDescent="0.25">
      <c r="A145" s="10" t="s">
        <v>428</v>
      </c>
      <c r="B145" s="10" t="s">
        <v>429</v>
      </c>
      <c r="C145" s="10" t="s">
        <v>423</v>
      </c>
      <c r="D145" s="11">
        <v>45681</v>
      </c>
      <c r="E145" s="12">
        <v>190000</v>
      </c>
      <c r="F145" s="10" t="s">
        <v>22</v>
      </c>
      <c r="G145" s="10" t="s">
        <v>23</v>
      </c>
      <c r="H145" s="12">
        <v>190000</v>
      </c>
      <c r="I145" s="12">
        <v>94150</v>
      </c>
      <c r="J145" s="13">
        <f>I145/H145*100</f>
        <v>49.55263157894737</v>
      </c>
      <c r="K145" s="12">
        <v>188291</v>
      </c>
      <c r="L145" s="12">
        <f>H145-143291</f>
        <v>46709</v>
      </c>
      <c r="M145" s="12">
        <v>45000</v>
      </c>
      <c r="N145" s="12">
        <f t="shared" si="17"/>
        <v>38000</v>
      </c>
      <c r="O145" s="14">
        <v>1</v>
      </c>
      <c r="P145" s="12">
        <f>L145/O145</f>
        <v>46709</v>
      </c>
      <c r="Q145" s="15">
        <f>L145/O145/43560</f>
        <v>1.0722910927456382</v>
      </c>
      <c r="R145" s="15">
        <f>M145/O145/43560</f>
        <v>1.0330578512396693</v>
      </c>
      <c r="S145" s="10" t="s">
        <v>97</v>
      </c>
    </row>
    <row r="146" spans="1:19" x14ac:dyDescent="0.25">
      <c r="A146" s="10" t="s">
        <v>430</v>
      </c>
      <c r="B146" s="10" t="s">
        <v>431</v>
      </c>
      <c r="C146" s="10" t="s">
        <v>423</v>
      </c>
      <c r="D146" s="11">
        <v>45687</v>
      </c>
      <c r="E146" s="12">
        <v>235000</v>
      </c>
      <c r="F146" s="10" t="s">
        <v>22</v>
      </c>
      <c r="G146" s="10" t="s">
        <v>23</v>
      </c>
      <c r="H146" s="12">
        <v>235000</v>
      </c>
      <c r="I146" s="12">
        <v>123080</v>
      </c>
      <c r="J146" s="13">
        <f>I146/H146*100</f>
        <v>52.374468085106386</v>
      </c>
      <c r="K146" s="12">
        <v>246154</v>
      </c>
      <c r="L146" s="12">
        <f>H146-201154</f>
        <v>33846</v>
      </c>
      <c r="M146" s="12">
        <v>45000</v>
      </c>
      <c r="N146" s="12">
        <f t="shared" si="17"/>
        <v>47000</v>
      </c>
      <c r="O146" s="14">
        <v>1</v>
      </c>
      <c r="P146" s="12">
        <f>L146/O146</f>
        <v>33846</v>
      </c>
      <c r="Q146" s="15">
        <f>L146/O146/43560</f>
        <v>0.77699724517906332</v>
      </c>
      <c r="R146" s="15">
        <f>M146/O146/43560</f>
        <v>1.0330578512396693</v>
      </c>
      <c r="S146" s="10" t="s">
        <v>97</v>
      </c>
    </row>
    <row r="147" spans="1:19" ht="15.75" thickBot="1" x14ac:dyDescent="0.3">
      <c r="A147" s="16"/>
      <c r="B147" s="16"/>
      <c r="C147" s="16"/>
      <c r="D147" s="17"/>
      <c r="E147" s="18"/>
      <c r="F147" s="16"/>
      <c r="G147" s="16"/>
      <c r="H147" s="18"/>
      <c r="I147" s="18"/>
      <c r="J147" s="19"/>
      <c r="K147" s="18"/>
      <c r="L147" s="18">
        <f>AVERAGE(L142:L146)</f>
        <v>58162</v>
      </c>
      <c r="M147" s="18">
        <f>AVERAGE(M142:M146)</f>
        <v>45000</v>
      </c>
      <c r="N147" s="18">
        <f>AVERAGE(N142:N146)</f>
        <v>42200</v>
      </c>
      <c r="O147" s="20"/>
      <c r="P147" s="18"/>
      <c r="Q147" s="21">
        <f>AVERAGE(Q142:Q146)</f>
        <v>1.3352157943067036</v>
      </c>
      <c r="R147" s="21">
        <f>AVERAGE(R142:R146)</f>
        <v>1.0330578512396693</v>
      </c>
      <c r="S147" s="16"/>
    </row>
    <row r="148" spans="1:19" ht="15.75" thickTop="1" x14ac:dyDescent="0.25">
      <c r="A148" s="10"/>
      <c r="B148" s="10"/>
      <c r="C148" s="10"/>
      <c r="D148" s="11"/>
      <c r="E148" s="12"/>
      <c r="F148" s="10"/>
      <c r="G148" s="10"/>
      <c r="H148" s="12"/>
      <c r="I148" s="12"/>
      <c r="J148" s="13"/>
      <c r="K148" s="12"/>
      <c r="L148" s="12"/>
      <c r="M148" s="12"/>
      <c r="N148" s="12"/>
      <c r="O148" s="14"/>
      <c r="P148" s="12"/>
      <c r="Q148" s="15"/>
      <c r="R148" s="15"/>
      <c r="S148" s="10"/>
    </row>
    <row r="149" spans="1:19" x14ac:dyDescent="0.25">
      <c r="A149" s="10"/>
      <c r="B149" s="10"/>
      <c r="C149" s="10"/>
      <c r="D149" s="11"/>
      <c r="E149" s="12"/>
      <c r="F149" s="10"/>
      <c r="G149" s="10"/>
      <c r="H149" s="12"/>
      <c r="I149" s="12"/>
      <c r="J149" s="13"/>
      <c r="K149" s="12"/>
      <c r="L149" s="12"/>
      <c r="M149" s="12"/>
      <c r="N149" s="12"/>
      <c r="O149" s="14"/>
      <c r="P149" s="12"/>
      <c r="Q149" s="15"/>
      <c r="R149" s="15"/>
      <c r="S149" s="10"/>
    </row>
    <row r="150" spans="1:19" x14ac:dyDescent="0.25">
      <c r="A150" s="10" t="s">
        <v>432</v>
      </c>
      <c r="B150" s="10" t="s">
        <v>433</v>
      </c>
      <c r="C150" s="10" t="s">
        <v>434</v>
      </c>
      <c r="D150" s="11">
        <v>45666</v>
      </c>
      <c r="E150" s="12">
        <v>231101</v>
      </c>
      <c r="F150" s="10" t="s">
        <v>29</v>
      </c>
      <c r="G150" s="10" t="s">
        <v>23</v>
      </c>
      <c r="H150" s="12">
        <v>231101</v>
      </c>
      <c r="I150" s="12">
        <v>107750</v>
      </c>
      <c r="J150" s="13">
        <f t="shared" ref="J150:J165" si="18">I150/H150*100</f>
        <v>46.624635981670352</v>
      </c>
      <c r="K150" s="12">
        <v>215508</v>
      </c>
      <c r="L150" s="12">
        <f>H150-165508</f>
        <v>65593</v>
      </c>
      <c r="M150" s="12">
        <v>50000</v>
      </c>
      <c r="N150" s="12">
        <f>E150*0.2</f>
        <v>46220.200000000004</v>
      </c>
      <c r="O150" s="14">
        <v>1</v>
      </c>
      <c r="P150" s="12">
        <f t="shared" ref="P150:P165" si="19">L150/O150</f>
        <v>65593</v>
      </c>
      <c r="Q150" s="15">
        <f t="shared" ref="Q150:Q165" si="20">L150/O150/43560</f>
        <v>1.5058080808080807</v>
      </c>
      <c r="R150" s="15">
        <f t="shared" ref="R150:R165" si="21">M150/O150/43560</f>
        <v>1.1478420569329659</v>
      </c>
      <c r="S150" s="10" t="s">
        <v>97</v>
      </c>
    </row>
    <row r="151" spans="1:19" x14ac:dyDescent="0.25">
      <c r="A151" s="10" t="s">
        <v>435</v>
      </c>
      <c r="B151" s="10" t="s">
        <v>436</v>
      </c>
      <c r="C151" s="10" t="s">
        <v>434</v>
      </c>
      <c r="D151" s="11">
        <v>45432</v>
      </c>
      <c r="E151" s="12">
        <v>260000</v>
      </c>
      <c r="F151" s="10" t="s">
        <v>22</v>
      </c>
      <c r="G151" s="10" t="s">
        <v>23</v>
      </c>
      <c r="H151" s="12">
        <v>260000</v>
      </c>
      <c r="I151" s="12">
        <v>108200</v>
      </c>
      <c r="J151" s="13">
        <f t="shared" si="18"/>
        <v>41.615384615384613</v>
      </c>
      <c r="K151" s="12">
        <v>216401</v>
      </c>
      <c r="L151" s="12">
        <f>H151-166401</f>
        <v>93599</v>
      </c>
      <c r="M151" s="12">
        <v>50000</v>
      </c>
      <c r="N151" s="12">
        <f t="shared" ref="N151:N165" si="22">E151*0.2</f>
        <v>52000</v>
      </c>
      <c r="O151" s="14">
        <v>1</v>
      </c>
      <c r="P151" s="12">
        <f t="shared" si="19"/>
        <v>93599</v>
      </c>
      <c r="Q151" s="15">
        <f t="shared" si="20"/>
        <v>2.1487373737373736</v>
      </c>
      <c r="R151" s="15">
        <f t="shared" si="21"/>
        <v>1.1478420569329659</v>
      </c>
      <c r="S151" s="10" t="s">
        <v>97</v>
      </c>
    </row>
    <row r="152" spans="1:19" x14ac:dyDescent="0.25">
      <c r="A152" s="10" t="s">
        <v>437</v>
      </c>
      <c r="B152" s="10" t="s">
        <v>438</v>
      </c>
      <c r="C152" s="10" t="s">
        <v>434</v>
      </c>
      <c r="D152" s="11">
        <v>45715</v>
      </c>
      <c r="E152" s="12">
        <v>234900</v>
      </c>
      <c r="F152" s="10" t="s">
        <v>22</v>
      </c>
      <c r="G152" s="10" t="s">
        <v>23</v>
      </c>
      <c r="H152" s="12">
        <v>234900</v>
      </c>
      <c r="I152" s="12">
        <v>94970</v>
      </c>
      <c r="J152" s="13">
        <f t="shared" si="18"/>
        <v>40.429970200085144</v>
      </c>
      <c r="K152" s="12">
        <v>189931</v>
      </c>
      <c r="L152" s="12">
        <f>H152-139931</f>
        <v>94969</v>
      </c>
      <c r="M152" s="12">
        <v>50000</v>
      </c>
      <c r="N152" s="12">
        <f t="shared" si="22"/>
        <v>46980</v>
      </c>
      <c r="O152" s="14">
        <v>1</v>
      </c>
      <c r="P152" s="12">
        <f t="shared" si="19"/>
        <v>94969</v>
      </c>
      <c r="Q152" s="15">
        <f t="shared" si="20"/>
        <v>2.180188246097337</v>
      </c>
      <c r="R152" s="15">
        <f t="shared" si="21"/>
        <v>1.1478420569329659</v>
      </c>
      <c r="S152" s="10" t="s">
        <v>97</v>
      </c>
    </row>
    <row r="153" spans="1:19" x14ac:dyDescent="0.25">
      <c r="A153" s="10" t="s">
        <v>439</v>
      </c>
      <c r="B153" s="10" t="s">
        <v>440</v>
      </c>
      <c r="C153" s="10" t="s">
        <v>434</v>
      </c>
      <c r="D153" s="11">
        <v>45722</v>
      </c>
      <c r="E153" s="12">
        <v>280000</v>
      </c>
      <c r="F153" s="10" t="s">
        <v>22</v>
      </c>
      <c r="G153" s="10" t="s">
        <v>23</v>
      </c>
      <c r="H153" s="12">
        <v>280000</v>
      </c>
      <c r="I153" s="12">
        <v>96200</v>
      </c>
      <c r="J153" s="13">
        <f t="shared" si="18"/>
        <v>34.357142857142861</v>
      </c>
      <c r="K153" s="12">
        <v>192405</v>
      </c>
      <c r="L153" s="12">
        <f>H153-142405</f>
        <v>137595</v>
      </c>
      <c r="M153" s="12">
        <v>50000</v>
      </c>
      <c r="N153" s="12">
        <f t="shared" si="22"/>
        <v>56000</v>
      </c>
      <c r="O153" s="14">
        <v>1</v>
      </c>
      <c r="P153" s="12">
        <f t="shared" si="19"/>
        <v>137595</v>
      </c>
      <c r="Q153" s="15">
        <f t="shared" si="20"/>
        <v>3.1587465564738291</v>
      </c>
      <c r="R153" s="15">
        <f t="shared" si="21"/>
        <v>1.1478420569329659</v>
      </c>
      <c r="S153" s="10" t="s">
        <v>97</v>
      </c>
    </row>
    <row r="154" spans="1:19" x14ac:dyDescent="0.25">
      <c r="A154" s="10" t="s">
        <v>441</v>
      </c>
      <c r="B154" s="10" t="s">
        <v>442</v>
      </c>
      <c r="C154" s="10" t="s">
        <v>434</v>
      </c>
      <c r="D154" s="11">
        <v>45695</v>
      </c>
      <c r="E154" s="12">
        <v>255000</v>
      </c>
      <c r="F154" s="10" t="s">
        <v>22</v>
      </c>
      <c r="G154" s="10" t="s">
        <v>23</v>
      </c>
      <c r="H154" s="12">
        <v>255000</v>
      </c>
      <c r="I154" s="12">
        <v>117200</v>
      </c>
      <c r="J154" s="13">
        <f t="shared" si="18"/>
        <v>45.96078431372549</v>
      </c>
      <c r="K154" s="12">
        <v>234397</v>
      </c>
      <c r="L154" s="12">
        <f>H154-184397</f>
        <v>70603</v>
      </c>
      <c r="M154" s="12">
        <v>50000</v>
      </c>
      <c r="N154" s="12">
        <f t="shared" si="22"/>
        <v>51000</v>
      </c>
      <c r="O154" s="14">
        <v>1</v>
      </c>
      <c r="P154" s="12">
        <f t="shared" si="19"/>
        <v>70603</v>
      </c>
      <c r="Q154" s="15">
        <f t="shared" si="20"/>
        <v>1.620821854912764</v>
      </c>
      <c r="R154" s="15">
        <f t="shared" si="21"/>
        <v>1.1478420569329659</v>
      </c>
      <c r="S154" s="10" t="s">
        <v>97</v>
      </c>
    </row>
    <row r="155" spans="1:19" x14ac:dyDescent="0.25">
      <c r="A155" s="10" t="s">
        <v>443</v>
      </c>
      <c r="B155" s="10" t="s">
        <v>444</v>
      </c>
      <c r="C155" s="10" t="s">
        <v>434</v>
      </c>
      <c r="D155" s="11">
        <v>45721</v>
      </c>
      <c r="E155" s="12">
        <v>300000</v>
      </c>
      <c r="F155" s="10" t="s">
        <v>22</v>
      </c>
      <c r="G155" s="10" t="s">
        <v>23</v>
      </c>
      <c r="H155" s="12">
        <v>300000</v>
      </c>
      <c r="I155" s="12">
        <v>118190</v>
      </c>
      <c r="J155" s="13">
        <f t="shared" si="18"/>
        <v>39.396666666666668</v>
      </c>
      <c r="K155" s="12">
        <v>236380</v>
      </c>
      <c r="L155" s="12">
        <f>H155-186380</f>
        <v>113620</v>
      </c>
      <c r="M155" s="12">
        <v>50000</v>
      </c>
      <c r="N155" s="12">
        <f t="shared" si="22"/>
        <v>60000</v>
      </c>
      <c r="O155" s="14">
        <v>1</v>
      </c>
      <c r="P155" s="12">
        <f t="shared" si="19"/>
        <v>113620</v>
      </c>
      <c r="Q155" s="15">
        <f t="shared" si="20"/>
        <v>2.6083562901744721</v>
      </c>
      <c r="R155" s="15">
        <f t="shared" si="21"/>
        <v>1.1478420569329659</v>
      </c>
      <c r="S155" s="10" t="s">
        <v>97</v>
      </c>
    </row>
    <row r="156" spans="1:19" x14ac:dyDescent="0.25">
      <c r="A156" s="10" t="s">
        <v>445</v>
      </c>
      <c r="B156" s="10" t="s">
        <v>446</v>
      </c>
      <c r="C156" s="10" t="s">
        <v>434</v>
      </c>
      <c r="D156" s="11">
        <v>45674</v>
      </c>
      <c r="E156" s="12">
        <v>203000</v>
      </c>
      <c r="F156" s="10" t="s">
        <v>22</v>
      </c>
      <c r="G156" s="10" t="s">
        <v>23</v>
      </c>
      <c r="H156" s="12">
        <v>203000</v>
      </c>
      <c r="I156" s="12">
        <v>117660</v>
      </c>
      <c r="J156" s="13">
        <f t="shared" si="18"/>
        <v>57.960591133004925</v>
      </c>
      <c r="K156" s="12">
        <v>235310</v>
      </c>
      <c r="L156" s="12">
        <f>H156-185310</f>
        <v>17690</v>
      </c>
      <c r="M156" s="12">
        <v>50000</v>
      </c>
      <c r="N156" s="12">
        <f t="shared" si="22"/>
        <v>40600</v>
      </c>
      <c r="O156" s="14">
        <v>1</v>
      </c>
      <c r="P156" s="12">
        <f t="shared" si="19"/>
        <v>17690</v>
      </c>
      <c r="Q156" s="15">
        <f t="shared" si="20"/>
        <v>0.40610651974288337</v>
      </c>
      <c r="R156" s="15">
        <f t="shared" si="21"/>
        <v>1.1478420569329659</v>
      </c>
      <c r="S156" s="10" t="s">
        <v>97</v>
      </c>
    </row>
    <row r="157" spans="1:19" x14ac:dyDescent="0.25">
      <c r="A157" s="10" t="s">
        <v>447</v>
      </c>
      <c r="B157" s="10" t="s">
        <v>448</v>
      </c>
      <c r="C157" s="10" t="s">
        <v>434</v>
      </c>
      <c r="D157" s="11">
        <v>45237</v>
      </c>
      <c r="E157" s="12">
        <v>255000</v>
      </c>
      <c r="F157" s="10" t="s">
        <v>22</v>
      </c>
      <c r="G157" s="10" t="s">
        <v>23</v>
      </c>
      <c r="H157" s="12">
        <v>255000</v>
      </c>
      <c r="I157" s="12">
        <v>106630</v>
      </c>
      <c r="J157" s="13">
        <f t="shared" si="18"/>
        <v>41.815686274509808</v>
      </c>
      <c r="K157" s="12">
        <v>213263</v>
      </c>
      <c r="L157" s="12">
        <f>H157-163263</f>
        <v>91737</v>
      </c>
      <c r="M157" s="12">
        <v>50000</v>
      </c>
      <c r="N157" s="12">
        <f t="shared" si="22"/>
        <v>51000</v>
      </c>
      <c r="O157" s="14">
        <v>1</v>
      </c>
      <c r="P157" s="12">
        <f t="shared" si="19"/>
        <v>91737</v>
      </c>
      <c r="Q157" s="15">
        <f t="shared" si="20"/>
        <v>2.1059917355371902</v>
      </c>
      <c r="R157" s="15">
        <f t="shared" si="21"/>
        <v>1.1478420569329659</v>
      </c>
      <c r="S157" s="10" t="s">
        <v>97</v>
      </c>
    </row>
    <row r="158" spans="1:19" x14ac:dyDescent="0.25">
      <c r="A158" s="10" t="s">
        <v>449</v>
      </c>
      <c r="B158" s="10" t="s">
        <v>450</v>
      </c>
      <c r="C158" s="10" t="s">
        <v>434</v>
      </c>
      <c r="D158" s="11">
        <v>45208</v>
      </c>
      <c r="E158" s="12">
        <v>257000</v>
      </c>
      <c r="F158" s="10" t="s">
        <v>22</v>
      </c>
      <c r="G158" s="10" t="s">
        <v>23</v>
      </c>
      <c r="H158" s="12">
        <v>257000</v>
      </c>
      <c r="I158" s="12">
        <v>106190</v>
      </c>
      <c r="J158" s="13">
        <f t="shared" si="18"/>
        <v>41.319066147859921</v>
      </c>
      <c r="K158" s="12">
        <v>212372</v>
      </c>
      <c r="L158" s="12">
        <f>H158-162372</f>
        <v>94628</v>
      </c>
      <c r="M158" s="12">
        <v>50000</v>
      </c>
      <c r="N158" s="12">
        <f t="shared" si="22"/>
        <v>51400</v>
      </c>
      <c r="O158" s="14">
        <v>1</v>
      </c>
      <c r="P158" s="12">
        <f t="shared" si="19"/>
        <v>94628</v>
      </c>
      <c r="Q158" s="15">
        <f t="shared" si="20"/>
        <v>2.172359963269054</v>
      </c>
      <c r="R158" s="15">
        <f t="shared" si="21"/>
        <v>1.1478420569329659</v>
      </c>
      <c r="S158" s="10" t="s">
        <v>97</v>
      </c>
    </row>
    <row r="159" spans="1:19" x14ac:dyDescent="0.25">
      <c r="A159" s="10" t="s">
        <v>451</v>
      </c>
      <c r="B159" s="10" t="s">
        <v>452</v>
      </c>
      <c r="C159" s="10" t="s">
        <v>434</v>
      </c>
      <c r="D159" s="11">
        <v>45230</v>
      </c>
      <c r="E159" s="12">
        <v>248000</v>
      </c>
      <c r="F159" s="10" t="s">
        <v>22</v>
      </c>
      <c r="G159" s="10" t="s">
        <v>23</v>
      </c>
      <c r="H159" s="12">
        <v>248000</v>
      </c>
      <c r="I159" s="12">
        <v>109750</v>
      </c>
      <c r="J159" s="13">
        <f t="shared" si="18"/>
        <v>44.25403225806452</v>
      </c>
      <c r="K159" s="12">
        <v>219504</v>
      </c>
      <c r="L159" s="12">
        <f>H159-169504</f>
        <v>78496</v>
      </c>
      <c r="M159" s="12">
        <v>50000</v>
      </c>
      <c r="N159" s="12">
        <f t="shared" si="22"/>
        <v>49600</v>
      </c>
      <c r="O159" s="14">
        <v>1</v>
      </c>
      <c r="P159" s="12">
        <f t="shared" si="19"/>
        <v>78496</v>
      </c>
      <c r="Q159" s="15">
        <f t="shared" si="20"/>
        <v>1.8020202020202021</v>
      </c>
      <c r="R159" s="15">
        <f t="shared" si="21"/>
        <v>1.1478420569329659</v>
      </c>
      <c r="S159" s="10" t="s">
        <v>97</v>
      </c>
    </row>
    <row r="160" spans="1:19" x14ac:dyDescent="0.25">
      <c r="A160" s="10" t="s">
        <v>453</v>
      </c>
      <c r="B160" s="10" t="s">
        <v>454</v>
      </c>
      <c r="C160" s="10" t="s">
        <v>434</v>
      </c>
      <c r="D160" s="11">
        <v>45135</v>
      </c>
      <c r="E160" s="12">
        <v>250000</v>
      </c>
      <c r="F160" s="10" t="s">
        <v>22</v>
      </c>
      <c r="G160" s="10" t="s">
        <v>23</v>
      </c>
      <c r="H160" s="12">
        <v>250000</v>
      </c>
      <c r="I160" s="12">
        <v>111630</v>
      </c>
      <c r="J160" s="13">
        <f t="shared" si="18"/>
        <v>44.651999999999994</v>
      </c>
      <c r="K160" s="12">
        <v>223253</v>
      </c>
      <c r="L160" s="12">
        <f>H160-173253</f>
        <v>76747</v>
      </c>
      <c r="M160" s="12">
        <v>50000</v>
      </c>
      <c r="N160" s="12">
        <f t="shared" si="22"/>
        <v>50000</v>
      </c>
      <c r="O160" s="14">
        <v>1</v>
      </c>
      <c r="P160" s="12">
        <f t="shared" si="19"/>
        <v>76747</v>
      </c>
      <c r="Q160" s="15">
        <f t="shared" si="20"/>
        <v>1.7618686868686868</v>
      </c>
      <c r="R160" s="15">
        <f t="shared" si="21"/>
        <v>1.1478420569329659</v>
      </c>
      <c r="S160" s="10" t="s">
        <v>97</v>
      </c>
    </row>
    <row r="161" spans="1:19" x14ac:dyDescent="0.25">
      <c r="A161" s="10" t="s">
        <v>455</v>
      </c>
      <c r="B161" s="10" t="s">
        <v>456</v>
      </c>
      <c r="C161" s="10" t="s">
        <v>434</v>
      </c>
      <c r="D161" s="11">
        <v>45436</v>
      </c>
      <c r="E161" s="12">
        <v>270000</v>
      </c>
      <c r="F161" s="10" t="s">
        <v>22</v>
      </c>
      <c r="G161" s="10" t="s">
        <v>23</v>
      </c>
      <c r="H161" s="12">
        <v>270000</v>
      </c>
      <c r="I161" s="12">
        <v>114650</v>
      </c>
      <c r="J161" s="13">
        <f t="shared" si="18"/>
        <v>42.462962962962962</v>
      </c>
      <c r="K161" s="12">
        <v>229291</v>
      </c>
      <c r="L161" s="12">
        <f>H161-179291</f>
        <v>90709</v>
      </c>
      <c r="M161" s="12">
        <v>50000</v>
      </c>
      <c r="N161" s="12">
        <f t="shared" si="22"/>
        <v>54000</v>
      </c>
      <c r="O161" s="14">
        <v>1</v>
      </c>
      <c r="P161" s="12">
        <f t="shared" si="19"/>
        <v>90709</v>
      </c>
      <c r="Q161" s="15">
        <f t="shared" si="20"/>
        <v>2.0823921028466481</v>
      </c>
      <c r="R161" s="15">
        <f t="shared" si="21"/>
        <v>1.1478420569329659</v>
      </c>
      <c r="S161" s="10" t="s">
        <v>97</v>
      </c>
    </row>
    <row r="162" spans="1:19" x14ac:dyDescent="0.25">
      <c r="A162" s="10" t="s">
        <v>457</v>
      </c>
      <c r="B162" s="10" t="s">
        <v>458</v>
      </c>
      <c r="C162" s="10" t="s">
        <v>434</v>
      </c>
      <c r="D162" s="11">
        <v>45427</v>
      </c>
      <c r="E162" s="12">
        <v>242000</v>
      </c>
      <c r="F162" s="10" t="s">
        <v>29</v>
      </c>
      <c r="G162" s="10" t="s">
        <v>23</v>
      </c>
      <c r="H162" s="12">
        <v>242000</v>
      </c>
      <c r="I162" s="12">
        <v>117310</v>
      </c>
      <c r="J162" s="13">
        <f t="shared" si="18"/>
        <v>48.47520661157025</v>
      </c>
      <c r="K162" s="12">
        <v>234610</v>
      </c>
      <c r="L162" s="12">
        <f>H162-184610</f>
        <v>57390</v>
      </c>
      <c r="M162" s="12">
        <v>50000</v>
      </c>
      <c r="N162" s="12">
        <f t="shared" si="22"/>
        <v>48400</v>
      </c>
      <c r="O162" s="14">
        <v>1</v>
      </c>
      <c r="P162" s="12">
        <f t="shared" si="19"/>
        <v>57390</v>
      </c>
      <c r="Q162" s="15">
        <f t="shared" si="20"/>
        <v>1.3174931129476584</v>
      </c>
      <c r="R162" s="15">
        <f t="shared" si="21"/>
        <v>1.1478420569329659</v>
      </c>
      <c r="S162" s="10" t="s">
        <v>97</v>
      </c>
    </row>
    <row r="163" spans="1:19" x14ac:dyDescent="0.25">
      <c r="A163" s="10" t="s">
        <v>459</v>
      </c>
      <c r="B163" s="10" t="s">
        <v>460</v>
      </c>
      <c r="C163" s="10" t="s">
        <v>434</v>
      </c>
      <c r="D163" s="11">
        <v>45120</v>
      </c>
      <c r="E163" s="12">
        <v>271000</v>
      </c>
      <c r="F163" s="10" t="s">
        <v>22</v>
      </c>
      <c r="G163" s="10" t="s">
        <v>23</v>
      </c>
      <c r="H163" s="12">
        <v>271000</v>
      </c>
      <c r="I163" s="12">
        <v>114260</v>
      </c>
      <c r="J163" s="13">
        <f t="shared" si="18"/>
        <v>42.162361623616235</v>
      </c>
      <c r="K163" s="12">
        <v>228522</v>
      </c>
      <c r="L163" s="12">
        <f>H163-178522</f>
        <v>92478</v>
      </c>
      <c r="M163" s="12">
        <v>50000</v>
      </c>
      <c r="N163" s="12">
        <f t="shared" si="22"/>
        <v>54200</v>
      </c>
      <c r="O163" s="14">
        <v>1</v>
      </c>
      <c r="P163" s="12">
        <f t="shared" si="19"/>
        <v>92478</v>
      </c>
      <c r="Q163" s="15">
        <f t="shared" si="20"/>
        <v>2.1230027548209365</v>
      </c>
      <c r="R163" s="15">
        <f t="shared" si="21"/>
        <v>1.1478420569329659</v>
      </c>
      <c r="S163" s="10" t="s">
        <v>97</v>
      </c>
    </row>
    <row r="164" spans="1:19" x14ac:dyDescent="0.25">
      <c r="A164" s="10" t="s">
        <v>461</v>
      </c>
      <c r="B164" s="10" t="s">
        <v>462</v>
      </c>
      <c r="C164" s="10" t="s">
        <v>434</v>
      </c>
      <c r="D164" s="11">
        <v>45526</v>
      </c>
      <c r="E164" s="12">
        <v>250000</v>
      </c>
      <c r="F164" s="10" t="s">
        <v>22</v>
      </c>
      <c r="G164" s="10" t="s">
        <v>23</v>
      </c>
      <c r="H164" s="12">
        <v>250000</v>
      </c>
      <c r="I164" s="12">
        <v>118960</v>
      </c>
      <c r="J164" s="13">
        <f t="shared" si="18"/>
        <v>47.583999999999996</v>
      </c>
      <c r="K164" s="12">
        <v>237918</v>
      </c>
      <c r="L164" s="12">
        <f>H164-187918</f>
        <v>62082</v>
      </c>
      <c r="M164" s="12">
        <v>50000</v>
      </c>
      <c r="N164" s="12">
        <f t="shared" si="22"/>
        <v>50000</v>
      </c>
      <c r="O164" s="14">
        <v>1</v>
      </c>
      <c r="P164" s="12">
        <f t="shared" si="19"/>
        <v>62082</v>
      </c>
      <c r="Q164" s="15">
        <f t="shared" si="20"/>
        <v>1.425206611570248</v>
      </c>
      <c r="R164" s="15">
        <f t="shared" si="21"/>
        <v>1.1478420569329659</v>
      </c>
      <c r="S164" s="10" t="s">
        <v>97</v>
      </c>
    </row>
    <row r="165" spans="1:19" x14ac:dyDescent="0.25">
      <c r="A165" s="10" t="s">
        <v>463</v>
      </c>
      <c r="B165" s="10" t="s">
        <v>464</v>
      </c>
      <c r="C165" s="10" t="s">
        <v>434</v>
      </c>
      <c r="D165" s="11">
        <v>45587</v>
      </c>
      <c r="E165" s="12">
        <v>250000</v>
      </c>
      <c r="F165" s="10" t="s">
        <v>22</v>
      </c>
      <c r="G165" s="10" t="s">
        <v>23</v>
      </c>
      <c r="H165" s="12">
        <v>250000</v>
      </c>
      <c r="I165" s="12">
        <v>114760</v>
      </c>
      <c r="J165" s="13">
        <f t="shared" si="18"/>
        <v>45.904000000000003</v>
      </c>
      <c r="K165" s="12">
        <v>229529</v>
      </c>
      <c r="L165" s="12">
        <f>H165-179529</f>
        <v>70471</v>
      </c>
      <c r="M165" s="12">
        <v>50000</v>
      </c>
      <c r="N165" s="12">
        <f t="shared" si="22"/>
        <v>50000</v>
      </c>
      <c r="O165" s="14">
        <v>1</v>
      </c>
      <c r="P165" s="12">
        <f t="shared" si="19"/>
        <v>70471</v>
      </c>
      <c r="Q165" s="15">
        <f t="shared" si="20"/>
        <v>1.617791551882461</v>
      </c>
      <c r="R165" s="15">
        <f t="shared" si="21"/>
        <v>1.1478420569329659</v>
      </c>
      <c r="S165" s="10" t="s">
        <v>97</v>
      </c>
    </row>
    <row r="166" spans="1:19" ht="15.75" thickBot="1" x14ac:dyDescent="0.3">
      <c r="A166" s="16"/>
      <c r="B166" s="16"/>
      <c r="C166" s="16"/>
      <c r="D166" s="17"/>
      <c r="E166" s="18"/>
      <c r="F166" s="16"/>
      <c r="G166" s="16"/>
      <c r="H166" s="18"/>
      <c r="I166" s="18"/>
      <c r="J166" s="19"/>
      <c r="K166" s="18"/>
      <c r="L166" s="18">
        <f>AVERAGE(L150:L165)</f>
        <v>81775.4375</v>
      </c>
      <c r="M166" s="18">
        <f>AVERAGE(M150:M165)</f>
        <v>50000</v>
      </c>
      <c r="N166" s="18">
        <f>AVERAGE(N150:N165)</f>
        <v>50712.512499999997</v>
      </c>
      <c r="O166" s="20"/>
      <c r="P166" s="18"/>
      <c r="Q166" s="21">
        <f>AVERAGE(Q150:Q165)</f>
        <v>1.8773057277318643</v>
      </c>
      <c r="R166" s="21">
        <f>AVERAGE(R150:R165)</f>
        <v>1.1478420569329659</v>
      </c>
      <c r="S166" s="16"/>
    </row>
    <row r="167" spans="1:19" ht="15.75" thickTop="1" x14ac:dyDescent="0.25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0ACDC-63D8-4E23-853C-416945C3DC4D}">
  <dimension ref="A1:S30"/>
  <sheetViews>
    <sheetView topLeftCell="A4" workbookViewId="0">
      <selection activeCell="A28" sqref="A28:XFD31"/>
    </sheetView>
  </sheetViews>
  <sheetFormatPr defaultRowHeight="15" x14ac:dyDescent="0.25"/>
  <cols>
    <col min="1" max="1" width="12.42578125" bestFit="1" customWidth="1"/>
    <col min="2" max="2" width="18.42578125" bestFit="1" customWidth="1"/>
    <col min="3" max="3" width="12.5703125" bestFit="1" customWidth="1"/>
    <col min="7" max="7" width="13.140625" bestFit="1" customWidth="1"/>
    <col min="13" max="13" width="10.8554687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180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1844</v>
      </c>
      <c r="B2" s="10" t="s">
        <v>1845</v>
      </c>
      <c r="C2" s="10" t="s">
        <v>1846</v>
      </c>
      <c r="D2" s="11">
        <v>45210</v>
      </c>
      <c r="E2" s="12">
        <v>1490000</v>
      </c>
      <c r="F2" s="10" t="s">
        <v>22</v>
      </c>
      <c r="G2" s="10" t="s">
        <v>23</v>
      </c>
      <c r="H2" s="12">
        <v>1490000</v>
      </c>
      <c r="I2" s="12">
        <v>666230</v>
      </c>
      <c r="J2" s="13">
        <f>I2/H2*100</f>
        <v>44.713422818791948</v>
      </c>
      <c r="K2" s="12">
        <v>1332460</v>
      </c>
      <c r="L2" s="12">
        <f>H2-747767</f>
        <v>742233</v>
      </c>
      <c r="M2" s="12">
        <v>584693</v>
      </c>
      <c r="N2" s="12">
        <f>E2*0.2</f>
        <v>298000</v>
      </c>
      <c r="O2" s="14">
        <v>3.7109999999999999</v>
      </c>
      <c r="P2" s="12">
        <f>L2/O2</f>
        <v>200008.89248181085</v>
      </c>
      <c r="Q2" s="15">
        <f>L2/O2/43560</f>
        <v>4.5915723710241245</v>
      </c>
      <c r="R2" s="15">
        <f>M2/O2/43560</f>
        <v>3.6170046660970447</v>
      </c>
      <c r="S2" s="10" t="s">
        <v>24</v>
      </c>
    </row>
    <row r="3" spans="1:19" x14ac:dyDescent="0.25">
      <c r="A3" s="10" t="s">
        <v>1847</v>
      </c>
      <c r="B3" s="10" t="s">
        <v>1848</v>
      </c>
      <c r="C3" s="10" t="s">
        <v>1846</v>
      </c>
      <c r="D3" s="11">
        <v>45411</v>
      </c>
      <c r="E3" s="12">
        <v>1450000</v>
      </c>
      <c r="F3" s="10" t="s">
        <v>29</v>
      </c>
      <c r="G3" s="10" t="s">
        <v>23</v>
      </c>
      <c r="H3" s="12">
        <v>1450000</v>
      </c>
      <c r="I3" s="12">
        <v>679450</v>
      </c>
      <c r="J3" s="13">
        <f>I3/H3*100</f>
        <v>46.858620689655176</v>
      </c>
      <c r="K3" s="12">
        <v>1358891</v>
      </c>
      <c r="L3" s="12">
        <f>H3-871986</f>
        <v>578014</v>
      </c>
      <c r="M3" s="12">
        <v>486905</v>
      </c>
      <c r="N3" s="12">
        <f>E3*0.2</f>
        <v>290000</v>
      </c>
      <c r="O3" s="14">
        <v>2.3759999999999999</v>
      </c>
      <c r="P3" s="12">
        <f>L3/O3</f>
        <v>243271.88552188553</v>
      </c>
      <c r="Q3" s="15">
        <f>L3/O3/43560</f>
        <v>5.5847540294280424</v>
      </c>
      <c r="R3" s="15">
        <f>M3/O3/43560</f>
        <v>4.7044615886443255</v>
      </c>
      <c r="S3" s="10" t="s">
        <v>24</v>
      </c>
    </row>
    <row r="4" spans="1:19" ht="15.75" thickBot="1" x14ac:dyDescent="0.3">
      <c r="A4" s="16"/>
      <c r="B4" s="16"/>
      <c r="C4" s="16"/>
      <c r="D4" s="17"/>
      <c r="E4" s="18"/>
      <c r="F4" s="16"/>
      <c r="G4" s="16"/>
      <c r="H4" s="18"/>
      <c r="I4" s="18"/>
      <c r="J4" s="19"/>
      <c r="K4" s="18"/>
      <c r="L4" s="18">
        <f>AVERAGE(L2:L3)</f>
        <v>660123.5</v>
      </c>
      <c r="M4" s="18">
        <f>AVERAGE(M2:M3)</f>
        <v>535799</v>
      </c>
      <c r="N4" s="18">
        <f>AVERAGE(N2:N3)</f>
        <v>294000</v>
      </c>
      <c r="O4" s="20"/>
      <c r="P4" s="18"/>
      <c r="Q4" s="21">
        <f>AVERAGE(Q2:Q3)</f>
        <v>5.0881632002260835</v>
      </c>
      <c r="R4" s="21">
        <f>AVERAGE(R2:R3)</f>
        <v>4.1607331273706851</v>
      </c>
      <c r="S4" s="16"/>
    </row>
    <row r="5" spans="1:19" ht="15.75" thickTop="1" x14ac:dyDescent="0.25">
      <c r="A5" s="10"/>
      <c r="B5" s="10"/>
      <c r="C5" s="10"/>
      <c r="D5" s="11"/>
      <c r="E5" s="12"/>
      <c r="F5" s="10"/>
      <c r="G5" s="10"/>
      <c r="H5" s="12"/>
      <c r="I5" s="12"/>
      <c r="J5" s="13"/>
      <c r="K5" s="12"/>
      <c r="L5" s="12"/>
      <c r="M5" s="12"/>
      <c r="N5" s="12"/>
      <c r="O5" s="14"/>
      <c r="P5" s="12"/>
      <c r="Q5" s="15"/>
      <c r="R5" s="15"/>
      <c r="S5" s="10"/>
    </row>
    <row r="6" spans="1:19" x14ac:dyDescent="0.25">
      <c r="A6" s="10"/>
      <c r="B6" s="10"/>
      <c r="C6" s="10"/>
      <c r="D6" s="11"/>
      <c r="E6" s="12"/>
      <c r="F6" s="10"/>
      <c r="G6" s="10"/>
      <c r="H6" s="12"/>
      <c r="I6" s="12"/>
      <c r="J6" s="13"/>
      <c r="K6" s="12"/>
      <c r="L6" s="12"/>
      <c r="M6" s="12"/>
      <c r="N6" s="12"/>
      <c r="O6" s="14"/>
      <c r="P6" s="12"/>
      <c r="Q6" s="15"/>
      <c r="R6" s="15"/>
      <c r="S6" s="10"/>
    </row>
    <row r="7" spans="1:19" x14ac:dyDescent="0.25">
      <c r="A7" s="10" t="s">
        <v>1849</v>
      </c>
      <c r="B7" s="10" t="s">
        <v>1850</v>
      </c>
      <c r="C7" s="10" t="s">
        <v>1851</v>
      </c>
      <c r="D7" s="11">
        <v>45643</v>
      </c>
      <c r="E7" s="12">
        <v>950000</v>
      </c>
      <c r="F7" s="10" t="s">
        <v>22</v>
      </c>
      <c r="G7" s="10" t="s">
        <v>23</v>
      </c>
      <c r="H7" s="12">
        <v>950000</v>
      </c>
      <c r="I7" s="12">
        <v>429520</v>
      </c>
      <c r="J7" s="13">
        <f t="shared" ref="J7:J15" si="0">I7/H7*100</f>
        <v>45.212631578947374</v>
      </c>
      <c r="K7" s="12">
        <v>859032</v>
      </c>
      <c r="L7" s="12">
        <f>H7-690596</f>
        <v>259404</v>
      </c>
      <c r="M7" s="12">
        <v>168436</v>
      </c>
      <c r="N7" s="12">
        <f t="shared" ref="N7:N15" si="1">E7*0.2</f>
        <v>190000</v>
      </c>
      <c r="O7" s="14">
        <v>1.2390000000000001</v>
      </c>
      <c r="P7" s="12">
        <f t="shared" ref="P7:P15" si="2">L7/O7</f>
        <v>209365.61743341404</v>
      </c>
      <c r="Q7" s="15">
        <f t="shared" ref="Q7:Q15" si="3">L7/O7/43560</f>
        <v>4.8063732193162085</v>
      </c>
      <c r="R7" s="15">
        <f t="shared" ref="R7:R15" si="4">M7/O7/43560</f>
        <v>3.1208704552310094</v>
      </c>
      <c r="S7" s="10" t="s">
        <v>24</v>
      </c>
    </row>
    <row r="8" spans="1:19" x14ac:dyDescent="0.25">
      <c r="A8" s="10" t="s">
        <v>1852</v>
      </c>
      <c r="B8" s="10" t="s">
        <v>1853</v>
      </c>
      <c r="C8" s="10" t="s">
        <v>1851</v>
      </c>
      <c r="D8" s="11">
        <v>45687</v>
      </c>
      <c r="E8" s="12">
        <v>395000</v>
      </c>
      <c r="F8" s="10" t="s">
        <v>29</v>
      </c>
      <c r="G8" s="10" t="s">
        <v>23</v>
      </c>
      <c r="H8" s="12">
        <v>395000</v>
      </c>
      <c r="I8" s="12">
        <v>148530</v>
      </c>
      <c r="J8" s="13">
        <f t="shared" si="0"/>
        <v>37.60253164556962</v>
      </c>
      <c r="K8" s="12">
        <v>297060</v>
      </c>
      <c r="L8" s="12">
        <f>H8-195053</f>
        <v>199947</v>
      </c>
      <c r="M8" s="12">
        <v>102007</v>
      </c>
      <c r="N8" s="12">
        <f t="shared" si="1"/>
        <v>79000</v>
      </c>
      <c r="O8" s="14">
        <v>0.502</v>
      </c>
      <c r="P8" s="12">
        <f t="shared" si="2"/>
        <v>398300.796812749</v>
      </c>
      <c r="Q8" s="15">
        <f t="shared" si="3"/>
        <v>9.1437281178317029</v>
      </c>
      <c r="R8" s="15">
        <f t="shared" si="4"/>
        <v>4.6648575578311178</v>
      </c>
      <c r="S8" s="10" t="s">
        <v>24</v>
      </c>
    </row>
    <row r="9" spans="1:19" x14ac:dyDescent="0.25">
      <c r="A9" s="10" t="s">
        <v>1854</v>
      </c>
      <c r="B9" s="10" t="s">
        <v>1855</v>
      </c>
      <c r="C9" s="10" t="s">
        <v>1851</v>
      </c>
      <c r="D9" s="11">
        <v>45246</v>
      </c>
      <c r="E9" s="12">
        <v>665000</v>
      </c>
      <c r="F9" s="10" t="s">
        <v>29</v>
      </c>
      <c r="G9" s="10" t="s">
        <v>23</v>
      </c>
      <c r="H9" s="12">
        <v>665000</v>
      </c>
      <c r="I9" s="12">
        <v>320750</v>
      </c>
      <c r="J9" s="13">
        <f t="shared" si="0"/>
        <v>48.233082706766915</v>
      </c>
      <c r="K9" s="12">
        <v>641494</v>
      </c>
      <c r="L9" s="12">
        <f>H9-504824</f>
        <v>160176</v>
      </c>
      <c r="M9" s="12">
        <v>136670</v>
      </c>
      <c r="N9" s="12">
        <f t="shared" si="1"/>
        <v>133000</v>
      </c>
      <c r="O9" s="14">
        <v>0.65500000000000003</v>
      </c>
      <c r="P9" s="12">
        <f t="shared" si="2"/>
        <v>244543.51145038166</v>
      </c>
      <c r="Q9" s="15">
        <f t="shared" si="3"/>
        <v>5.6139465438563283</v>
      </c>
      <c r="R9" s="15">
        <f t="shared" si="4"/>
        <v>4.7900938601840748</v>
      </c>
      <c r="S9" s="10" t="s">
        <v>24</v>
      </c>
    </row>
    <row r="10" spans="1:19" x14ac:dyDescent="0.25">
      <c r="A10" s="10" t="s">
        <v>1856</v>
      </c>
      <c r="B10" s="10" t="s">
        <v>1857</v>
      </c>
      <c r="C10" s="10" t="s">
        <v>1851</v>
      </c>
      <c r="D10" s="11">
        <v>45268</v>
      </c>
      <c r="E10" s="12">
        <v>458500</v>
      </c>
      <c r="F10" s="10" t="s">
        <v>22</v>
      </c>
      <c r="G10" s="10" t="s">
        <v>23</v>
      </c>
      <c r="H10" s="12">
        <v>458500</v>
      </c>
      <c r="I10" s="12">
        <v>215360</v>
      </c>
      <c r="J10" s="13">
        <f t="shared" si="0"/>
        <v>46.970556161395855</v>
      </c>
      <c r="K10" s="12">
        <v>430717</v>
      </c>
      <c r="L10" s="12">
        <f>H10-331890</f>
        <v>126610</v>
      </c>
      <c r="M10" s="12">
        <v>98827</v>
      </c>
      <c r="N10" s="12">
        <f t="shared" si="1"/>
        <v>91700</v>
      </c>
      <c r="O10" s="14">
        <v>0.61</v>
      </c>
      <c r="P10" s="12">
        <f t="shared" si="2"/>
        <v>207557.37704918033</v>
      </c>
      <c r="Q10" s="15">
        <f t="shared" si="3"/>
        <v>4.7648617320748468</v>
      </c>
      <c r="R10" s="15">
        <f t="shared" si="4"/>
        <v>3.7192717036234177</v>
      </c>
      <c r="S10" s="10" t="s">
        <v>24</v>
      </c>
    </row>
    <row r="11" spans="1:19" x14ac:dyDescent="0.25">
      <c r="A11" s="10" t="s">
        <v>1858</v>
      </c>
      <c r="B11" s="10" t="s">
        <v>1859</v>
      </c>
      <c r="C11" s="10" t="s">
        <v>1851</v>
      </c>
      <c r="D11" s="11">
        <v>45503</v>
      </c>
      <c r="E11" s="12">
        <v>790000</v>
      </c>
      <c r="F11" s="10" t="s">
        <v>29</v>
      </c>
      <c r="G11" s="10" t="s">
        <v>23</v>
      </c>
      <c r="H11" s="12">
        <v>790000</v>
      </c>
      <c r="I11" s="12">
        <v>325380</v>
      </c>
      <c r="J11" s="13">
        <f t="shared" si="0"/>
        <v>41.187341772151896</v>
      </c>
      <c r="K11" s="12">
        <v>650753</v>
      </c>
      <c r="L11" s="12">
        <f>H11-497585</f>
        <v>292415</v>
      </c>
      <c r="M11" s="12">
        <v>153168</v>
      </c>
      <c r="N11" s="12">
        <f t="shared" si="1"/>
        <v>158000</v>
      </c>
      <c r="O11" s="14">
        <v>0.86299999999999999</v>
      </c>
      <c r="P11" s="12">
        <f t="shared" si="2"/>
        <v>338835.45770567789</v>
      </c>
      <c r="Q11" s="15">
        <f t="shared" si="3"/>
        <v>7.7785917746941662</v>
      </c>
      <c r="R11" s="15">
        <f t="shared" si="4"/>
        <v>4.0744535846189693</v>
      </c>
      <c r="S11" s="10" t="s">
        <v>24</v>
      </c>
    </row>
    <row r="12" spans="1:19" x14ac:dyDescent="0.25">
      <c r="A12" s="10" t="s">
        <v>1860</v>
      </c>
      <c r="B12" s="10" t="s">
        <v>1861</v>
      </c>
      <c r="C12" s="10" t="s">
        <v>1851</v>
      </c>
      <c r="D12" s="11">
        <v>45446</v>
      </c>
      <c r="E12" s="12">
        <v>460000</v>
      </c>
      <c r="F12" s="10" t="s">
        <v>22</v>
      </c>
      <c r="G12" s="10" t="s">
        <v>23</v>
      </c>
      <c r="H12" s="12">
        <v>460000</v>
      </c>
      <c r="I12" s="12">
        <v>214790</v>
      </c>
      <c r="J12" s="13">
        <f t="shared" si="0"/>
        <v>46.693478260869561</v>
      </c>
      <c r="K12" s="12">
        <v>429573</v>
      </c>
      <c r="L12" s="12">
        <f>H12-297804</f>
        <v>162196</v>
      </c>
      <c r="M12" s="12">
        <v>131769</v>
      </c>
      <c r="N12" s="12">
        <f t="shared" si="1"/>
        <v>92000</v>
      </c>
      <c r="O12" s="14">
        <v>0.61</v>
      </c>
      <c r="P12" s="12">
        <f t="shared" si="2"/>
        <v>265895.08196721313</v>
      </c>
      <c r="Q12" s="15">
        <f t="shared" si="3"/>
        <v>6.1041111562721104</v>
      </c>
      <c r="R12" s="15">
        <f t="shared" si="4"/>
        <v>4.9590163934426235</v>
      </c>
      <c r="S12" s="10" t="s">
        <v>504</v>
      </c>
    </row>
    <row r="13" spans="1:19" x14ac:dyDescent="0.25">
      <c r="A13" s="10" t="s">
        <v>1862</v>
      </c>
      <c r="B13" s="10" t="s">
        <v>1863</v>
      </c>
      <c r="C13" s="10" t="s">
        <v>1851</v>
      </c>
      <c r="D13" s="11">
        <v>45573</v>
      </c>
      <c r="E13" s="12">
        <v>675000</v>
      </c>
      <c r="F13" s="10" t="s">
        <v>22</v>
      </c>
      <c r="G13" s="10" t="s">
        <v>23</v>
      </c>
      <c r="H13" s="12">
        <v>675000</v>
      </c>
      <c r="I13" s="12">
        <v>214280</v>
      </c>
      <c r="J13" s="13">
        <f t="shared" si="0"/>
        <v>31.745185185185186</v>
      </c>
      <c r="K13" s="12">
        <v>428552</v>
      </c>
      <c r="L13" s="12">
        <f>H13-296565</f>
        <v>378435</v>
      </c>
      <c r="M13" s="12">
        <v>131987</v>
      </c>
      <c r="N13" s="12">
        <f t="shared" si="1"/>
        <v>135000</v>
      </c>
      <c r="O13" s="14">
        <v>0.61199999999999999</v>
      </c>
      <c r="P13" s="12">
        <f t="shared" si="2"/>
        <v>618357.84313725494</v>
      </c>
      <c r="Q13" s="15">
        <f t="shared" si="3"/>
        <v>14.195542771745981</v>
      </c>
      <c r="R13" s="15">
        <f t="shared" si="4"/>
        <v>4.9509878943925294</v>
      </c>
      <c r="S13" s="10" t="s">
        <v>24</v>
      </c>
    </row>
    <row r="14" spans="1:19" x14ac:dyDescent="0.25">
      <c r="A14" s="10" t="s">
        <v>1864</v>
      </c>
      <c r="B14" s="10" t="s">
        <v>1865</v>
      </c>
      <c r="C14" s="10" t="s">
        <v>1851</v>
      </c>
      <c r="D14" s="11">
        <v>45644</v>
      </c>
      <c r="E14" s="12">
        <v>590000</v>
      </c>
      <c r="F14" s="10" t="s">
        <v>22</v>
      </c>
      <c r="G14" s="10" t="s">
        <v>23</v>
      </c>
      <c r="H14" s="12">
        <v>590000</v>
      </c>
      <c r="I14" s="12">
        <v>246190</v>
      </c>
      <c r="J14" s="13">
        <f t="shared" si="0"/>
        <v>41.727118644067794</v>
      </c>
      <c r="K14" s="12">
        <v>492388</v>
      </c>
      <c r="L14" s="12">
        <f>H14-358768</f>
        <v>231232</v>
      </c>
      <c r="M14" s="12">
        <v>133620</v>
      </c>
      <c r="N14" s="12">
        <f t="shared" si="1"/>
        <v>118000</v>
      </c>
      <c r="O14" s="14">
        <v>0.627</v>
      </c>
      <c r="P14" s="12">
        <f t="shared" si="2"/>
        <v>368791.06858054228</v>
      </c>
      <c r="Q14" s="15">
        <f t="shared" si="3"/>
        <v>8.4662779747599242</v>
      </c>
      <c r="R14" s="15">
        <f t="shared" si="4"/>
        <v>4.8923335134731394</v>
      </c>
      <c r="S14" s="10" t="s">
        <v>24</v>
      </c>
    </row>
    <row r="15" spans="1:19" x14ac:dyDescent="0.25">
      <c r="A15" s="10" t="s">
        <v>1866</v>
      </c>
      <c r="B15" s="10" t="s">
        <v>1867</v>
      </c>
      <c r="C15" s="10" t="s">
        <v>1851</v>
      </c>
      <c r="D15" s="11">
        <v>45062</v>
      </c>
      <c r="E15" s="12">
        <v>549900</v>
      </c>
      <c r="F15" s="10" t="s">
        <v>22</v>
      </c>
      <c r="G15" s="10" t="s">
        <v>23</v>
      </c>
      <c r="H15" s="12">
        <v>549900</v>
      </c>
      <c r="I15" s="12">
        <v>221970</v>
      </c>
      <c r="J15" s="13">
        <f t="shared" si="0"/>
        <v>40.365521003818877</v>
      </c>
      <c r="K15" s="12">
        <v>443935</v>
      </c>
      <c r="L15" s="12">
        <f>H15-288371</f>
        <v>261529</v>
      </c>
      <c r="M15" s="12">
        <v>155564</v>
      </c>
      <c r="N15" s="12">
        <f t="shared" si="1"/>
        <v>109980</v>
      </c>
      <c r="O15" s="14">
        <v>0.90700000000000003</v>
      </c>
      <c r="P15" s="12">
        <f t="shared" si="2"/>
        <v>288345.09371554572</v>
      </c>
      <c r="Q15" s="15">
        <f t="shared" si="3"/>
        <v>6.6194925095396169</v>
      </c>
      <c r="R15" s="15">
        <f t="shared" si="4"/>
        <v>3.9374399502694581</v>
      </c>
      <c r="S15" s="10" t="s">
        <v>24</v>
      </c>
    </row>
    <row r="16" spans="1:19" ht="15.75" thickBot="1" x14ac:dyDescent="0.3">
      <c r="A16" s="16"/>
      <c r="B16" s="16"/>
      <c r="C16" s="16"/>
      <c r="D16" s="17"/>
      <c r="E16" s="18"/>
      <c r="F16" s="16"/>
      <c r="G16" s="16"/>
      <c r="H16" s="18"/>
      <c r="I16" s="18"/>
      <c r="J16" s="19"/>
      <c r="K16" s="18"/>
      <c r="L16" s="18">
        <f>AVERAGE(L7:L15)</f>
        <v>230216</v>
      </c>
      <c r="M16" s="18">
        <f>AVERAGE(M7:M15)</f>
        <v>134672</v>
      </c>
      <c r="N16" s="18">
        <f>AVERAGE(N7:N15)</f>
        <v>122964.44444444444</v>
      </c>
      <c r="O16" s="20"/>
      <c r="P16" s="18"/>
      <c r="Q16" s="21">
        <f>AVERAGE(Q7:Q15)</f>
        <v>7.4992139777878766</v>
      </c>
      <c r="R16" s="21">
        <f>AVERAGE(R7:R15)</f>
        <v>4.34548054589626</v>
      </c>
      <c r="S16" s="16"/>
    </row>
    <row r="17" spans="1:19" ht="15.75" thickTop="1" x14ac:dyDescent="0.25">
      <c r="A17" s="10"/>
      <c r="B17" s="10"/>
      <c r="C17" s="10"/>
      <c r="D17" s="11"/>
      <c r="E17" s="12"/>
      <c r="F17" s="10"/>
      <c r="G17" s="10"/>
      <c r="H17" s="12"/>
      <c r="I17" s="12"/>
      <c r="J17" s="13"/>
      <c r="K17" s="12"/>
      <c r="L17" s="12"/>
      <c r="M17" s="12"/>
      <c r="N17" s="12"/>
      <c r="O17" s="14"/>
      <c r="P17" s="12"/>
      <c r="Q17" s="15"/>
      <c r="R17" s="15"/>
      <c r="S17" s="10"/>
    </row>
    <row r="18" spans="1:19" x14ac:dyDescent="0.25">
      <c r="A18" s="10"/>
      <c r="B18" s="10"/>
      <c r="C18" s="10"/>
      <c r="D18" s="11"/>
      <c r="E18" s="12"/>
      <c r="F18" s="10"/>
      <c r="G18" s="10"/>
      <c r="H18" s="12"/>
      <c r="I18" s="12"/>
      <c r="J18" s="13"/>
      <c r="K18" s="12"/>
      <c r="L18" s="12"/>
      <c r="M18" s="12"/>
      <c r="N18" s="12"/>
      <c r="O18" s="14"/>
      <c r="P18" s="12"/>
      <c r="Q18" s="15"/>
      <c r="R18" s="15"/>
      <c r="S18" s="10"/>
    </row>
    <row r="19" spans="1:19" x14ac:dyDescent="0.25">
      <c r="A19" s="10" t="s">
        <v>1868</v>
      </c>
      <c r="B19" s="10" t="s">
        <v>1869</v>
      </c>
      <c r="C19" s="10" t="s">
        <v>1870</v>
      </c>
      <c r="D19" s="11">
        <v>45484</v>
      </c>
      <c r="E19" s="12">
        <v>775000</v>
      </c>
      <c r="F19" s="10" t="s">
        <v>29</v>
      </c>
      <c r="G19" s="10" t="s">
        <v>23</v>
      </c>
      <c r="H19" s="12">
        <v>775000</v>
      </c>
      <c r="I19" s="12">
        <v>309410</v>
      </c>
      <c r="J19" s="13">
        <f t="shared" ref="J19:J24" si="5">I19/H19*100</f>
        <v>39.923870967741934</v>
      </c>
      <c r="K19" s="12">
        <v>618811</v>
      </c>
      <c r="L19" s="12">
        <f>H19-490570</f>
        <v>284430</v>
      </c>
      <c r="M19" s="12">
        <v>128241</v>
      </c>
      <c r="N19" s="12">
        <f t="shared" ref="N19:N24" si="6">E19*0.2</f>
        <v>155000</v>
      </c>
      <c r="O19" s="14">
        <v>0.36799999999999999</v>
      </c>
      <c r="P19" s="12">
        <f t="shared" ref="P19:P24" si="7">L19/O19</f>
        <v>772907.60869565222</v>
      </c>
      <c r="Q19" s="15">
        <f t="shared" ref="Q19:Q24" si="8">L19/O19/43560</f>
        <v>17.74351718768715</v>
      </c>
      <c r="R19" s="15">
        <f t="shared" ref="R19:R24" si="9">M19/O19/43560</f>
        <v>8.0000224577793748</v>
      </c>
      <c r="S19" s="10" t="s">
        <v>24</v>
      </c>
    </row>
    <row r="20" spans="1:19" x14ac:dyDescent="0.25">
      <c r="A20" s="10" t="s">
        <v>1871</v>
      </c>
      <c r="B20" s="10" t="s">
        <v>1872</v>
      </c>
      <c r="C20" s="10" t="s">
        <v>1870</v>
      </c>
      <c r="D20" s="11">
        <v>45272</v>
      </c>
      <c r="E20" s="12">
        <v>560000</v>
      </c>
      <c r="F20" s="10" t="s">
        <v>22</v>
      </c>
      <c r="G20" s="10" t="s">
        <v>23</v>
      </c>
      <c r="H20" s="12">
        <v>560000</v>
      </c>
      <c r="I20" s="12">
        <v>268980</v>
      </c>
      <c r="J20" s="13">
        <f t="shared" si="5"/>
        <v>48.032142857142858</v>
      </c>
      <c r="K20" s="12">
        <v>537957</v>
      </c>
      <c r="L20" s="12">
        <f>H20-358063</f>
        <v>201937</v>
      </c>
      <c r="M20" s="12">
        <v>179894</v>
      </c>
      <c r="N20" s="12">
        <f t="shared" si="6"/>
        <v>112000</v>
      </c>
      <c r="O20" s="14">
        <v>0.55900000000000005</v>
      </c>
      <c r="P20" s="12">
        <f t="shared" si="7"/>
        <v>361246.86940966005</v>
      </c>
      <c r="Q20" s="15">
        <f t="shared" si="8"/>
        <v>8.2930869928755744</v>
      </c>
      <c r="R20" s="15">
        <f t="shared" si="9"/>
        <v>7.3878318064364574</v>
      </c>
      <c r="S20" s="10" t="s">
        <v>24</v>
      </c>
    </row>
    <row r="21" spans="1:19" x14ac:dyDescent="0.25">
      <c r="A21" s="10" t="s">
        <v>1873</v>
      </c>
      <c r="B21" s="10" t="s">
        <v>1874</v>
      </c>
      <c r="C21" s="10" t="s">
        <v>1870</v>
      </c>
      <c r="D21" s="11">
        <v>45163</v>
      </c>
      <c r="E21" s="12">
        <v>592000</v>
      </c>
      <c r="F21" s="10" t="s">
        <v>29</v>
      </c>
      <c r="G21" s="10" t="s">
        <v>23</v>
      </c>
      <c r="H21" s="12">
        <v>592000</v>
      </c>
      <c r="I21" s="12">
        <v>319130</v>
      </c>
      <c r="J21" s="13">
        <f t="shared" si="5"/>
        <v>53.907094594594597</v>
      </c>
      <c r="K21" s="12">
        <v>638253</v>
      </c>
      <c r="L21" s="12">
        <f>H21-460755</f>
        <v>131245</v>
      </c>
      <c r="M21" s="12">
        <v>177498</v>
      </c>
      <c r="N21" s="12">
        <f t="shared" si="6"/>
        <v>118400</v>
      </c>
      <c r="O21" s="14">
        <v>0.53400000000000003</v>
      </c>
      <c r="P21" s="12">
        <f t="shared" si="7"/>
        <v>245777.15355805241</v>
      </c>
      <c r="Q21" s="15">
        <f t="shared" si="8"/>
        <v>5.6422670697440864</v>
      </c>
      <c r="R21" s="15">
        <f t="shared" si="9"/>
        <v>7.6306992292691982</v>
      </c>
      <c r="S21" s="10" t="s">
        <v>24</v>
      </c>
    </row>
    <row r="22" spans="1:19" x14ac:dyDescent="0.25">
      <c r="A22" s="10" t="s">
        <v>1875</v>
      </c>
      <c r="B22" s="10" t="s">
        <v>1876</v>
      </c>
      <c r="C22" s="10" t="s">
        <v>1870</v>
      </c>
      <c r="D22" s="11">
        <v>45419</v>
      </c>
      <c r="E22" s="12">
        <v>901000</v>
      </c>
      <c r="F22" s="10" t="s">
        <v>22</v>
      </c>
      <c r="G22" s="10" t="s">
        <v>23</v>
      </c>
      <c r="H22" s="12">
        <v>901000</v>
      </c>
      <c r="I22" s="12">
        <v>351520</v>
      </c>
      <c r="J22" s="13">
        <f t="shared" si="5"/>
        <v>39.014428412874587</v>
      </c>
      <c r="K22" s="12">
        <v>703039</v>
      </c>
      <c r="L22" s="12">
        <f>H22-574450</f>
        <v>326550</v>
      </c>
      <c r="M22" s="12">
        <v>128589</v>
      </c>
      <c r="N22" s="12">
        <f t="shared" si="6"/>
        <v>180200</v>
      </c>
      <c r="O22" s="14">
        <v>0.36899999999999999</v>
      </c>
      <c r="P22" s="12">
        <f t="shared" si="7"/>
        <v>884959.34959349595</v>
      </c>
      <c r="Q22" s="15">
        <f t="shared" si="8"/>
        <v>20.315871202789165</v>
      </c>
      <c r="R22" s="15">
        <f t="shared" si="9"/>
        <v>7.9999925343606053</v>
      </c>
      <c r="S22" s="10" t="s">
        <v>24</v>
      </c>
    </row>
    <row r="23" spans="1:19" x14ac:dyDescent="0.25">
      <c r="A23" s="10" t="s">
        <v>1875</v>
      </c>
      <c r="B23" s="10" t="s">
        <v>1876</v>
      </c>
      <c r="C23" s="10" t="s">
        <v>1870</v>
      </c>
      <c r="D23" s="11">
        <v>45419</v>
      </c>
      <c r="E23" s="12">
        <v>901000</v>
      </c>
      <c r="F23" s="10" t="s">
        <v>29</v>
      </c>
      <c r="G23" s="10" t="s">
        <v>23</v>
      </c>
      <c r="H23" s="12">
        <v>901000</v>
      </c>
      <c r="I23" s="12">
        <v>351520</v>
      </c>
      <c r="J23" s="13">
        <f t="shared" si="5"/>
        <v>39.014428412874587</v>
      </c>
      <c r="K23" s="12">
        <v>703039</v>
      </c>
      <c r="L23" s="12">
        <f>H23-574450</f>
        <v>326550</v>
      </c>
      <c r="M23" s="12">
        <v>128589</v>
      </c>
      <c r="N23" s="12">
        <f t="shared" si="6"/>
        <v>180200</v>
      </c>
      <c r="O23" s="14">
        <v>0.36899999999999999</v>
      </c>
      <c r="P23" s="12">
        <f t="shared" si="7"/>
        <v>884959.34959349595</v>
      </c>
      <c r="Q23" s="15">
        <f t="shared" si="8"/>
        <v>20.315871202789165</v>
      </c>
      <c r="R23" s="15">
        <f t="shared" si="9"/>
        <v>7.9999925343606053</v>
      </c>
      <c r="S23" s="10" t="s">
        <v>24</v>
      </c>
    </row>
    <row r="24" spans="1:19" x14ac:dyDescent="0.25">
      <c r="A24" s="10" t="s">
        <v>1877</v>
      </c>
      <c r="B24" s="10" t="s">
        <v>1878</v>
      </c>
      <c r="C24" s="10" t="s">
        <v>1870</v>
      </c>
      <c r="D24" s="11">
        <v>45040</v>
      </c>
      <c r="E24" s="12">
        <v>550000</v>
      </c>
      <c r="F24" s="10" t="s">
        <v>29</v>
      </c>
      <c r="G24" s="10" t="s">
        <v>23</v>
      </c>
      <c r="H24" s="12">
        <v>550000</v>
      </c>
      <c r="I24" s="12">
        <v>265310</v>
      </c>
      <c r="J24" s="13">
        <f t="shared" si="5"/>
        <v>48.238181818181822</v>
      </c>
      <c r="K24" s="12">
        <v>530627</v>
      </c>
      <c r="L24" s="12">
        <f>H24-395452</f>
        <v>154548</v>
      </c>
      <c r="M24" s="12">
        <v>135175</v>
      </c>
      <c r="N24" s="12">
        <f t="shared" si="6"/>
        <v>110000</v>
      </c>
      <c r="O24" s="14">
        <v>0.43099999999999999</v>
      </c>
      <c r="P24" s="12">
        <f t="shared" si="7"/>
        <v>358580.0464037123</v>
      </c>
      <c r="Q24" s="15">
        <f t="shared" si="8"/>
        <v>8.2318651607831104</v>
      </c>
      <c r="R24" s="15">
        <f t="shared" si="9"/>
        <v>7.1999791204600321</v>
      </c>
      <c r="S24" s="10" t="s">
        <v>24</v>
      </c>
    </row>
    <row r="25" spans="1:19" ht="15.75" thickBot="1" x14ac:dyDescent="0.3">
      <c r="A25" s="16"/>
      <c r="B25" s="16"/>
      <c r="C25" s="16"/>
      <c r="D25" s="17"/>
      <c r="E25" s="18"/>
      <c r="F25" s="16"/>
      <c r="G25" s="16"/>
      <c r="H25" s="18"/>
      <c r="I25" s="18"/>
      <c r="J25" s="19"/>
      <c r="K25" s="18"/>
      <c r="L25" s="18">
        <f>AVERAGE(L19:L24)</f>
        <v>237543.33333333334</v>
      </c>
      <c r="M25" s="18">
        <f>AVERAGE(M19:M24)</f>
        <v>146331</v>
      </c>
      <c r="N25" s="18">
        <f>AVERAGE(N19:N24)</f>
        <v>142633.33333333334</v>
      </c>
      <c r="O25" s="20"/>
      <c r="P25" s="18"/>
      <c r="Q25" s="21">
        <f>AVERAGE(Q19:Q24)</f>
        <v>13.42374646944471</v>
      </c>
      <c r="R25" s="21">
        <f>AVERAGE(R19:R24)</f>
        <v>7.7030862804443787</v>
      </c>
      <c r="S25" s="16"/>
    </row>
    <row r="26" spans="1:19" ht="15.75" thickTop="1" x14ac:dyDescent="0.25">
      <c r="A26" s="10"/>
      <c r="B26" s="10"/>
      <c r="C26" s="10"/>
      <c r="D26" s="11"/>
      <c r="E26" s="12"/>
      <c r="F26" s="10"/>
      <c r="G26" s="10"/>
      <c r="H26" s="12"/>
      <c r="I26" s="12"/>
      <c r="J26" s="13"/>
      <c r="K26" s="12"/>
      <c r="L26" s="12"/>
      <c r="M26" s="12"/>
      <c r="N26" s="12"/>
      <c r="O26" s="14"/>
      <c r="P26" s="12"/>
      <c r="Q26" s="15"/>
      <c r="R26" s="15"/>
      <c r="S26" s="10"/>
    </row>
    <row r="27" spans="1:19" x14ac:dyDescent="0.25">
      <c r="A27" s="10"/>
      <c r="B27" s="10"/>
      <c r="C27" s="10"/>
      <c r="D27" s="11"/>
      <c r="E27" s="12"/>
      <c r="F27" s="10"/>
      <c r="G27" s="10"/>
      <c r="H27" s="12"/>
      <c r="I27" s="12"/>
      <c r="J27" s="13"/>
      <c r="K27" s="12"/>
      <c r="L27" s="12"/>
      <c r="M27" s="12"/>
      <c r="N27" s="12"/>
      <c r="O27" s="14"/>
      <c r="P27" s="12"/>
      <c r="Q27" s="15"/>
      <c r="R27" s="15"/>
      <c r="S27" s="10"/>
    </row>
    <row r="28" spans="1:19" x14ac:dyDescent="0.25">
      <c r="A28" s="10" t="s">
        <v>1879</v>
      </c>
      <c r="B28" s="10" t="s">
        <v>1880</v>
      </c>
      <c r="C28" s="10" t="s">
        <v>1881</v>
      </c>
      <c r="D28" s="11">
        <v>45252</v>
      </c>
      <c r="E28" s="12">
        <v>986000</v>
      </c>
      <c r="F28" s="10" t="s">
        <v>29</v>
      </c>
      <c r="G28" s="10" t="s">
        <v>23</v>
      </c>
      <c r="H28" s="12">
        <v>986000</v>
      </c>
      <c r="I28" s="12">
        <v>402590</v>
      </c>
      <c r="J28" s="13">
        <f>I28/H28*100</f>
        <v>40.830628803245432</v>
      </c>
      <c r="K28" s="12">
        <v>805183</v>
      </c>
      <c r="L28" s="12">
        <f>H28-624322</f>
        <v>361678</v>
      </c>
      <c r="M28" s="12">
        <v>180861</v>
      </c>
      <c r="N28" s="12">
        <f>E28*0.2</f>
        <v>197200</v>
      </c>
      <c r="O28" s="14">
        <v>0.34599999999999997</v>
      </c>
      <c r="P28" s="12">
        <f>L28/O28</f>
        <v>1045312.1387283237</v>
      </c>
      <c r="Q28" s="15">
        <f>L28/O28/43560</f>
        <v>23.997064709098343</v>
      </c>
      <c r="R28" s="15">
        <f>M28/O28/43560</f>
        <v>11.999992038089779</v>
      </c>
      <c r="S28" s="10" t="s">
        <v>24</v>
      </c>
    </row>
    <row r="29" spans="1:19" ht="15.75" thickBot="1" x14ac:dyDescent="0.3">
      <c r="A29" s="16"/>
      <c r="B29" s="16"/>
      <c r="C29" s="16"/>
      <c r="D29" s="17"/>
      <c r="E29" s="18"/>
      <c r="F29" s="16"/>
      <c r="G29" s="16"/>
      <c r="H29" s="18"/>
      <c r="I29" s="18"/>
      <c r="J29" s="19"/>
      <c r="K29" s="18"/>
      <c r="L29" s="18">
        <f>AVERAGE(L28)</f>
        <v>361678</v>
      </c>
      <c r="M29" s="18">
        <f>AVERAGE(M28)</f>
        <v>180861</v>
      </c>
      <c r="N29" s="18">
        <f>AVERAGE(N28)</f>
        <v>197200</v>
      </c>
      <c r="O29" s="20"/>
      <c r="P29" s="18"/>
      <c r="Q29" s="21">
        <f>AVERAGE(Q28)</f>
        <v>23.997064709098343</v>
      </c>
      <c r="R29" s="21">
        <f>AVERAGE(R28)</f>
        <v>11.999992038089779</v>
      </c>
      <c r="S29" s="16"/>
    </row>
    <row r="30" spans="1:19" ht="15.75" thickTop="1" x14ac:dyDescent="0.25"/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AF270-BBBC-40D3-BF08-7D25D42E0C4D}">
  <dimension ref="A1:S15"/>
  <sheetViews>
    <sheetView workbookViewId="0">
      <selection activeCell="J22" sqref="J22"/>
    </sheetView>
  </sheetViews>
  <sheetFormatPr defaultRowHeight="15" x14ac:dyDescent="0.25"/>
  <cols>
    <col min="1" max="1" width="12.42578125" bestFit="1" customWidth="1"/>
    <col min="2" max="2" width="15.28515625" bestFit="1" customWidth="1"/>
    <col min="3" max="3" width="12.5703125" bestFit="1" customWidth="1"/>
    <col min="4" max="4" width="9.28515625" bestFit="1" customWidth="1"/>
    <col min="7" max="7" width="13.140625" bestFit="1" customWidth="1"/>
    <col min="13" max="13" width="10.8554687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180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1882</v>
      </c>
      <c r="B2" s="10" t="s">
        <v>1883</v>
      </c>
      <c r="C2" s="10" t="s">
        <v>1884</v>
      </c>
      <c r="D2" s="11">
        <v>45057</v>
      </c>
      <c r="E2" s="12">
        <v>740000</v>
      </c>
      <c r="F2" s="10" t="s">
        <v>29</v>
      </c>
      <c r="G2" s="10" t="s">
        <v>23</v>
      </c>
      <c r="H2" s="12">
        <v>740000</v>
      </c>
      <c r="I2" s="12">
        <v>366790</v>
      </c>
      <c r="J2" s="13">
        <f>I2/H2*100</f>
        <v>49.566216216216219</v>
      </c>
      <c r="K2" s="12">
        <v>733573</v>
      </c>
      <c r="L2" s="12">
        <f>H2-411512</f>
        <v>328488</v>
      </c>
      <c r="M2" s="12">
        <v>322061</v>
      </c>
      <c r="N2" s="12">
        <f>E2*0.2</f>
        <v>148000</v>
      </c>
      <c r="O2" s="14">
        <v>1.179</v>
      </c>
      <c r="P2" s="12">
        <f>L2/O2</f>
        <v>278615.7760814249</v>
      </c>
      <c r="Q2" s="15">
        <f>L2/O2/43560</f>
        <v>6.3961381102255483</v>
      </c>
      <c r="R2" s="15">
        <f>M2/O2/43560</f>
        <v>6.2709950924154017</v>
      </c>
      <c r="S2" s="10" t="s">
        <v>24</v>
      </c>
    </row>
    <row r="3" spans="1:19" x14ac:dyDescent="0.25">
      <c r="A3" s="10" t="s">
        <v>1885</v>
      </c>
      <c r="B3" s="10" t="s">
        <v>1886</v>
      </c>
      <c r="C3" s="10" t="s">
        <v>1884</v>
      </c>
      <c r="D3" s="11">
        <v>45583</v>
      </c>
      <c r="E3" s="12">
        <v>1800000</v>
      </c>
      <c r="F3" s="10" t="s">
        <v>22</v>
      </c>
      <c r="G3" s="10" t="s">
        <v>23</v>
      </c>
      <c r="H3" s="12">
        <v>1800000</v>
      </c>
      <c r="I3" s="12">
        <v>566090</v>
      </c>
      <c r="J3" s="13">
        <f>I3/H3*100</f>
        <v>31.449444444444445</v>
      </c>
      <c r="K3" s="12">
        <v>1132186</v>
      </c>
      <c r="L3" s="12">
        <f>H3-944660</f>
        <v>855340</v>
      </c>
      <c r="M3" s="12">
        <v>187526</v>
      </c>
      <c r="N3" s="12">
        <f>E3*0.2</f>
        <v>360000</v>
      </c>
      <c r="O3" s="14">
        <v>0.41</v>
      </c>
      <c r="P3" s="12">
        <f>L3/O3</f>
        <v>2086195.1219512196</v>
      </c>
      <c r="Q3" s="15">
        <f>L3/O3/43560</f>
        <v>47.89244999888016</v>
      </c>
      <c r="R3" s="15">
        <f>M3/O3/43560</f>
        <v>10.500011198459093</v>
      </c>
      <c r="S3" s="10" t="s">
        <v>24</v>
      </c>
    </row>
    <row r="4" spans="1:19" ht="15.75" thickBot="1" x14ac:dyDescent="0.3">
      <c r="A4" s="16"/>
      <c r="B4" s="16"/>
      <c r="C4" s="16"/>
      <c r="D4" s="17"/>
      <c r="E4" s="18"/>
      <c r="F4" s="16"/>
      <c r="G4" s="16"/>
      <c r="H4" s="18"/>
      <c r="I4" s="18"/>
      <c r="J4" s="19"/>
      <c r="K4" s="18"/>
      <c r="L4" s="18">
        <f>AVERAGE(L2:L3)</f>
        <v>591914</v>
      </c>
      <c r="M4" s="18">
        <f>AVERAGE(M2:M3)</f>
        <v>254793.5</v>
      </c>
      <c r="N4" s="18">
        <f>AVERAGE(N2:N3)</f>
        <v>254000</v>
      </c>
      <c r="O4" s="20"/>
      <c r="P4" s="18"/>
      <c r="Q4" s="21">
        <f>AVERAGE(Q2:Q3)</f>
        <v>27.144294054552855</v>
      </c>
      <c r="R4" s="21">
        <f>AVERAGE(R2:R3)</f>
        <v>8.385503145437248</v>
      </c>
      <c r="S4" s="16"/>
    </row>
    <row r="5" spans="1:19" ht="15.75" thickTop="1" x14ac:dyDescent="0.25">
      <c r="A5" s="10"/>
      <c r="B5" s="10"/>
      <c r="C5" s="10"/>
      <c r="D5" s="11"/>
      <c r="E5" s="12"/>
      <c r="F5" s="10"/>
      <c r="G5" s="10"/>
      <c r="H5" s="12"/>
      <c r="I5" s="12"/>
      <c r="J5" s="13"/>
      <c r="K5" s="12"/>
      <c r="L5" s="12"/>
      <c r="M5" s="12"/>
      <c r="N5" s="12"/>
      <c r="O5" s="14"/>
      <c r="P5" s="12"/>
      <c r="Q5" s="15"/>
      <c r="R5" s="15"/>
      <c r="S5" s="10"/>
    </row>
    <row r="6" spans="1:19" x14ac:dyDescent="0.25">
      <c r="A6" s="10"/>
      <c r="B6" s="10"/>
      <c r="C6" s="10"/>
      <c r="D6" s="11"/>
      <c r="E6" s="12"/>
      <c r="F6" s="10"/>
      <c r="G6" s="10"/>
      <c r="H6" s="12"/>
      <c r="I6" s="12"/>
      <c r="J6" s="13"/>
      <c r="K6" s="12"/>
      <c r="L6" s="12"/>
      <c r="M6" s="12"/>
      <c r="N6" s="12"/>
      <c r="O6" s="14"/>
      <c r="P6" s="12"/>
      <c r="Q6" s="15"/>
      <c r="R6" s="15"/>
      <c r="S6" s="10"/>
    </row>
    <row r="7" spans="1:19" x14ac:dyDescent="0.25">
      <c r="A7" s="10" t="s">
        <v>1887</v>
      </c>
      <c r="B7" s="10" t="s">
        <v>1888</v>
      </c>
      <c r="C7" s="10" t="s">
        <v>1889</v>
      </c>
      <c r="D7" s="11">
        <v>45121</v>
      </c>
      <c r="E7" s="12">
        <v>1285000</v>
      </c>
      <c r="F7" s="10" t="s">
        <v>22</v>
      </c>
      <c r="G7" s="10" t="s">
        <v>23</v>
      </c>
      <c r="H7" s="12">
        <v>1285000</v>
      </c>
      <c r="I7" s="12">
        <v>668810</v>
      </c>
      <c r="J7" s="13">
        <f>I7/H7*100</f>
        <v>52.047470817120626</v>
      </c>
      <c r="K7" s="12">
        <v>1337618</v>
      </c>
      <c r="L7" s="12">
        <f>H7-1152183</f>
        <v>132817</v>
      </c>
      <c r="M7" s="12">
        <v>185435</v>
      </c>
      <c r="N7" s="12">
        <f>E7*0.2</f>
        <v>257000</v>
      </c>
      <c r="O7" s="14">
        <v>0.47299999999999998</v>
      </c>
      <c r="P7" s="12">
        <f>L7/O7</f>
        <v>280797.04016913322</v>
      </c>
      <c r="Q7" s="15">
        <f>L7/O7/43560</f>
        <v>6.4462130433685312</v>
      </c>
      <c r="R7" s="15">
        <f>M7/O7/43560</f>
        <v>9.0000038827638296</v>
      </c>
      <c r="S7" s="10" t="s">
        <v>24</v>
      </c>
    </row>
    <row r="8" spans="1:19" ht="15.75" thickBot="1" x14ac:dyDescent="0.3">
      <c r="A8" s="16"/>
      <c r="B8" s="16"/>
      <c r="C8" s="16"/>
      <c r="D8" s="17"/>
      <c r="E8" s="18"/>
      <c r="F8" s="16"/>
      <c r="G8" s="16"/>
      <c r="H8" s="18"/>
      <c r="I8" s="18"/>
      <c r="J8" s="19"/>
      <c r="K8" s="18"/>
      <c r="L8" s="18">
        <f>AVERAGE(L7:L7)</f>
        <v>132817</v>
      </c>
      <c r="M8" s="18">
        <f>AVERAGE(M7:M7)</f>
        <v>185435</v>
      </c>
      <c r="N8" s="18">
        <f>AVERAGE(N7:N7)</f>
        <v>257000</v>
      </c>
      <c r="O8" s="20"/>
      <c r="P8" s="18"/>
      <c r="Q8" s="21">
        <f>AVERAGE(Q7:Q7)</f>
        <v>6.4462130433685312</v>
      </c>
      <c r="R8" s="21">
        <f>AVERAGE(R7:R7)</f>
        <v>9.0000038827638296</v>
      </c>
      <c r="S8" s="16"/>
    </row>
    <row r="9" spans="1:19" ht="15.75" thickTop="1" x14ac:dyDescent="0.25">
      <c r="A9" s="10"/>
      <c r="B9" s="10"/>
      <c r="C9" s="10"/>
      <c r="D9" s="11"/>
      <c r="E9" s="12"/>
      <c r="F9" s="10"/>
      <c r="G9" s="10"/>
      <c r="H9" s="12"/>
      <c r="I9" s="12"/>
      <c r="J9" s="13"/>
      <c r="K9" s="12"/>
      <c r="L9" s="12"/>
      <c r="M9" s="12"/>
      <c r="N9" s="12"/>
      <c r="O9" s="14"/>
      <c r="P9" s="12"/>
      <c r="Q9" s="15"/>
      <c r="R9" s="15"/>
      <c r="S9" s="10"/>
    </row>
    <row r="10" spans="1:19" x14ac:dyDescent="0.25">
      <c r="A10" s="10"/>
      <c r="B10" s="10"/>
      <c r="C10" s="10"/>
      <c r="D10" s="11"/>
      <c r="E10" s="12"/>
      <c r="F10" s="10"/>
      <c r="G10" s="10"/>
      <c r="H10" s="12"/>
      <c r="I10" s="12"/>
      <c r="J10" s="13"/>
      <c r="K10" s="12"/>
      <c r="L10" s="12"/>
      <c r="M10" s="12"/>
      <c r="N10" s="12"/>
      <c r="O10" s="14"/>
      <c r="P10" s="12"/>
      <c r="Q10" s="15"/>
      <c r="R10" s="15"/>
      <c r="S10" s="10"/>
    </row>
    <row r="11" spans="1:19" x14ac:dyDescent="0.25">
      <c r="A11" s="10" t="s">
        <v>1890</v>
      </c>
      <c r="B11" s="10" t="s">
        <v>1891</v>
      </c>
      <c r="C11" s="10" t="s">
        <v>1892</v>
      </c>
      <c r="D11" s="11">
        <v>45058</v>
      </c>
      <c r="E11" s="12">
        <v>850000</v>
      </c>
      <c r="F11" s="10" t="s">
        <v>29</v>
      </c>
      <c r="G11" s="10" t="s">
        <v>23</v>
      </c>
      <c r="H11" s="12">
        <v>850000</v>
      </c>
      <c r="I11" s="12">
        <v>344070</v>
      </c>
      <c r="J11" s="13">
        <f>I11/H11*100</f>
        <v>40.47882352941177</v>
      </c>
      <c r="K11" s="12">
        <v>688141</v>
      </c>
      <c r="L11" s="12">
        <f>H11-488141</f>
        <v>361859</v>
      </c>
      <c r="M11" s="12">
        <v>200000</v>
      </c>
      <c r="N11" s="12">
        <f>E11*0.2</f>
        <v>170000</v>
      </c>
      <c r="O11" s="14">
        <v>1</v>
      </c>
      <c r="P11" s="12">
        <f>L11/O11</f>
        <v>361859</v>
      </c>
      <c r="Q11" s="15">
        <f>L11/O11/43560</f>
        <v>8.307139577594123</v>
      </c>
      <c r="R11" s="15">
        <f>M11/O11/43560</f>
        <v>4.5913682277318637</v>
      </c>
      <c r="S11" s="10" t="s">
        <v>97</v>
      </c>
    </row>
    <row r="12" spans="1:19" x14ac:dyDescent="0.25">
      <c r="A12" s="10" t="s">
        <v>1893</v>
      </c>
      <c r="B12" s="10" t="s">
        <v>1894</v>
      </c>
      <c r="C12" s="10" t="s">
        <v>1892</v>
      </c>
      <c r="D12" s="11">
        <v>45635</v>
      </c>
      <c r="E12" s="12">
        <v>875000</v>
      </c>
      <c r="F12" s="10" t="s">
        <v>22</v>
      </c>
      <c r="G12" s="10" t="s">
        <v>23</v>
      </c>
      <c r="H12" s="12">
        <v>875000</v>
      </c>
      <c r="I12" s="12">
        <v>375420</v>
      </c>
      <c r="J12" s="13">
        <f>I12/H12*100</f>
        <v>42.905142857142856</v>
      </c>
      <c r="K12" s="12">
        <v>750833</v>
      </c>
      <c r="L12" s="12">
        <f>H12-550833</f>
        <v>324167</v>
      </c>
      <c r="M12" s="12">
        <v>200000</v>
      </c>
      <c r="N12" s="12">
        <f>E12*0.2</f>
        <v>175000</v>
      </c>
      <c r="O12" s="14">
        <v>1</v>
      </c>
      <c r="P12" s="12">
        <f>L12/O12</f>
        <v>324167</v>
      </c>
      <c r="Q12" s="15">
        <f>L12/O12/43560</f>
        <v>7.4418503213957763</v>
      </c>
      <c r="R12" s="15">
        <f>M12/O12/43560</f>
        <v>4.5913682277318637</v>
      </c>
      <c r="S12" s="10" t="s">
        <v>97</v>
      </c>
    </row>
    <row r="13" spans="1:19" x14ac:dyDescent="0.25">
      <c r="A13" s="10" t="s">
        <v>1895</v>
      </c>
      <c r="B13" s="10" t="s">
        <v>1896</v>
      </c>
      <c r="C13" s="10" t="s">
        <v>1892</v>
      </c>
      <c r="D13" s="11">
        <v>45373</v>
      </c>
      <c r="E13" s="12">
        <v>750000</v>
      </c>
      <c r="F13" s="10" t="s">
        <v>29</v>
      </c>
      <c r="G13" s="10" t="s">
        <v>23</v>
      </c>
      <c r="H13" s="12">
        <v>750000</v>
      </c>
      <c r="I13" s="12">
        <v>375990</v>
      </c>
      <c r="J13" s="13">
        <f>I13/H13*100</f>
        <v>50.131999999999998</v>
      </c>
      <c r="K13" s="12">
        <v>751977</v>
      </c>
      <c r="L13" s="12">
        <f>H13-551977</f>
        <v>198023</v>
      </c>
      <c r="M13" s="12">
        <v>200000</v>
      </c>
      <c r="N13" s="12">
        <f>E13*0.2</f>
        <v>150000</v>
      </c>
      <c r="O13" s="14">
        <v>1</v>
      </c>
      <c r="P13" s="12">
        <f>L13/O13</f>
        <v>198023</v>
      </c>
      <c r="Q13" s="15">
        <f>L13/O13/43560</f>
        <v>4.5459825528007345</v>
      </c>
      <c r="R13" s="15">
        <f>M13/O13/43560</f>
        <v>4.5913682277318637</v>
      </c>
      <c r="S13" s="10" t="s">
        <v>97</v>
      </c>
    </row>
    <row r="14" spans="1:19" ht="15.75" thickBot="1" x14ac:dyDescent="0.3">
      <c r="A14" s="16"/>
      <c r="B14" s="16"/>
      <c r="C14" s="16"/>
      <c r="D14" s="17"/>
      <c r="E14" s="18"/>
      <c r="F14" s="16"/>
      <c r="G14" s="16"/>
      <c r="H14" s="18"/>
      <c r="I14" s="18"/>
      <c r="J14" s="19"/>
      <c r="K14" s="18"/>
      <c r="L14" s="18">
        <f>AVERAGE(L11:L13)</f>
        <v>294683</v>
      </c>
      <c r="M14" s="18">
        <f>AVERAGE(M11:M13)</f>
        <v>200000</v>
      </c>
      <c r="N14" s="18">
        <f>AVERAGE(N11:N13)</f>
        <v>165000</v>
      </c>
      <c r="O14" s="20"/>
      <c r="P14" s="18"/>
      <c r="Q14" s="21">
        <f>AVERAGE(Q11:Q13)</f>
        <v>6.7649908172635449</v>
      </c>
      <c r="R14" s="21">
        <f>AVERAGE(R11:R13)</f>
        <v>4.5913682277318637</v>
      </c>
      <c r="S14" s="16"/>
    </row>
    <row r="15" spans="1:19" ht="15.75" thickTop="1" x14ac:dyDescent="0.25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EFE14-90C8-4C6B-AFA7-BD8DA3AB2398}">
  <dimension ref="A1:S112"/>
  <sheetViews>
    <sheetView workbookViewId="0">
      <selection activeCell="A110" sqref="A110:XFD115"/>
    </sheetView>
  </sheetViews>
  <sheetFormatPr defaultRowHeight="15" x14ac:dyDescent="0.25"/>
  <cols>
    <col min="1" max="1" width="12.42578125" bestFit="1" customWidth="1"/>
    <col min="2" max="2" width="20.28515625" bestFit="1" customWidth="1"/>
    <col min="3" max="3" width="12.5703125" bestFit="1" customWidth="1"/>
    <col min="7" max="7" width="13.140625" bestFit="1" customWidth="1"/>
    <col min="13" max="13" width="10.8554687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180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1897</v>
      </c>
      <c r="B2" s="10" t="s">
        <v>1898</v>
      </c>
      <c r="C2" s="10" t="s">
        <v>1899</v>
      </c>
      <c r="D2" s="11">
        <v>45406</v>
      </c>
      <c r="E2" s="12">
        <v>1010000</v>
      </c>
      <c r="F2" s="10" t="s">
        <v>29</v>
      </c>
      <c r="G2" s="10" t="s">
        <v>23</v>
      </c>
      <c r="H2" s="12">
        <v>1010000</v>
      </c>
      <c r="I2" s="12">
        <v>467730</v>
      </c>
      <c r="J2" s="13">
        <f t="shared" ref="J2:J9" si="0">I2/H2*100</f>
        <v>46.30990099009901</v>
      </c>
      <c r="K2" s="12">
        <v>935467</v>
      </c>
      <c r="L2" s="12">
        <f>H2-817463</f>
        <v>192537</v>
      </c>
      <c r="M2" s="12">
        <v>118004</v>
      </c>
      <c r="N2" s="12">
        <f t="shared" ref="N2:N9" si="1">E2*0.2</f>
        <v>202000</v>
      </c>
      <c r="O2" s="14">
        <v>0.30099999999999999</v>
      </c>
      <c r="P2" s="12">
        <f t="shared" ref="P2:P9" si="2">L2/O2</f>
        <v>639657.80730897014</v>
      </c>
      <c r="Q2" s="15">
        <f t="shared" ref="Q2:Q9" si="3">L2/O2/43560</f>
        <v>14.684522665495182</v>
      </c>
      <c r="R2" s="15">
        <f t="shared" ref="R2:R9" si="4">M2/O2/43560</f>
        <v>8.9999969492569925</v>
      </c>
      <c r="S2" s="10" t="s">
        <v>97</v>
      </c>
    </row>
    <row r="3" spans="1:19" x14ac:dyDescent="0.25">
      <c r="A3" s="10" t="s">
        <v>1900</v>
      </c>
      <c r="B3" s="10" t="s">
        <v>1901</v>
      </c>
      <c r="C3" s="10" t="s">
        <v>1899</v>
      </c>
      <c r="D3" s="11">
        <v>45100</v>
      </c>
      <c r="E3" s="12">
        <v>825000</v>
      </c>
      <c r="F3" s="10" t="s">
        <v>22</v>
      </c>
      <c r="G3" s="10" t="s">
        <v>23</v>
      </c>
      <c r="H3" s="12">
        <v>825000</v>
      </c>
      <c r="I3" s="12">
        <v>414550</v>
      </c>
      <c r="J3" s="13">
        <f t="shared" si="0"/>
        <v>50.24848484848485</v>
      </c>
      <c r="K3" s="12">
        <v>829092</v>
      </c>
      <c r="L3" s="12">
        <f>H3-651890</f>
        <v>173110</v>
      </c>
      <c r="M3" s="12">
        <v>177202</v>
      </c>
      <c r="N3" s="12">
        <f t="shared" si="1"/>
        <v>165000</v>
      </c>
      <c r="O3" s="14">
        <v>0.45200000000000001</v>
      </c>
      <c r="P3" s="12">
        <f t="shared" si="2"/>
        <v>382986.72566371679</v>
      </c>
      <c r="Q3" s="15">
        <f t="shared" si="3"/>
        <v>8.7921654192772447</v>
      </c>
      <c r="R3" s="15">
        <f t="shared" si="4"/>
        <v>8.9999959368422751</v>
      </c>
      <c r="S3" s="10" t="s">
        <v>24</v>
      </c>
    </row>
    <row r="4" spans="1:19" x14ac:dyDescent="0.25">
      <c r="A4" s="10" t="s">
        <v>1902</v>
      </c>
      <c r="B4" s="10" t="s">
        <v>1903</v>
      </c>
      <c r="C4" s="10" t="s">
        <v>1899</v>
      </c>
      <c r="D4" s="11">
        <v>45092</v>
      </c>
      <c r="E4" s="12">
        <v>620000</v>
      </c>
      <c r="F4" s="10" t="s">
        <v>22</v>
      </c>
      <c r="G4" s="10" t="s">
        <v>23</v>
      </c>
      <c r="H4" s="12">
        <v>620000</v>
      </c>
      <c r="I4" s="12">
        <v>340940</v>
      </c>
      <c r="J4" s="13">
        <f t="shared" si="0"/>
        <v>54.990322580645156</v>
      </c>
      <c r="K4" s="12">
        <v>681878</v>
      </c>
      <c r="L4" s="12">
        <f>H4-527591</f>
        <v>92409</v>
      </c>
      <c r="M4" s="12">
        <v>154287</v>
      </c>
      <c r="N4" s="12">
        <f t="shared" si="1"/>
        <v>124000</v>
      </c>
      <c r="O4" s="14">
        <v>0.46300000000000002</v>
      </c>
      <c r="P4" s="12">
        <f t="shared" si="2"/>
        <v>199587.47300215982</v>
      </c>
      <c r="Q4" s="15">
        <f t="shared" si="3"/>
        <v>4.5818979109770392</v>
      </c>
      <c r="R4" s="15">
        <f t="shared" si="4"/>
        <v>7.6499830426788993</v>
      </c>
      <c r="S4" s="10" t="s">
        <v>24</v>
      </c>
    </row>
    <row r="5" spans="1:19" x14ac:dyDescent="0.25">
      <c r="A5" s="10" t="s">
        <v>1904</v>
      </c>
      <c r="B5" s="10" t="s">
        <v>1905</v>
      </c>
      <c r="C5" s="10" t="s">
        <v>1899</v>
      </c>
      <c r="D5" s="11">
        <v>45583</v>
      </c>
      <c r="E5" s="12">
        <v>1200000</v>
      </c>
      <c r="F5" s="10" t="s">
        <v>22</v>
      </c>
      <c r="G5" s="10" t="s">
        <v>23</v>
      </c>
      <c r="H5" s="12">
        <v>1200000</v>
      </c>
      <c r="I5" s="12">
        <v>460080</v>
      </c>
      <c r="J5" s="13">
        <f t="shared" si="0"/>
        <v>38.340000000000003</v>
      </c>
      <c r="K5" s="12">
        <v>920167</v>
      </c>
      <c r="L5" s="12">
        <f>H5-718266</f>
        <v>481734</v>
      </c>
      <c r="M5" s="12">
        <v>201901</v>
      </c>
      <c r="N5" s="12">
        <f t="shared" si="1"/>
        <v>240000</v>
      </c>
      <c r="O5" s="14">
        <v>0.52700000000000002</v>
      </c>
      <c r="P5" s="12">
        <f t="shared" si="2"/>
        <v>914106.2618595825</v>
      </c>
      <c r="Q5" s="15">
        <f t="shared" si="3"/>
        <v>20.984992237364153</v>
      </c>
      <c r="R5" s="15">
        <f t="shared" si="4"/>
        <v>8.7950838382095924</v>
      </c>
      <c r="S5" s="10" t="s">
        <v>24</v>
      </c>
    </row>
    <row r="6" spans="1:19" x14ac:dyDescent="0.25">
      <c r="A6" s="10" t="s">
        <v>1906</v>
      </c>
      <c r="B6" s="10" t="s">
        <v>1907</v>
      </c>
      <c r="C6" s="10" t="s">
        <v>1899</v>
      </c>
      <c r="D6" s="11">
        <v>45609</v>
      </c>
      <c r="E6" s="12">
        <v>725000</v>
      </c>
      <c r="F6" s="10" t="s">
        <v>29</v>
      </c>
      <c r="G6" s="10" t="s">
        <v>23</v>
      </c>
      <c r="H6" s="12">
        <v>725000</v>
      </c>
      <c r="I6" s="12">
        <v>313700</v>
      </c>
      <c r="J6" s="13">
        <f t="shared" si="0"/>
        <v>43.268965517241384</v>
      </c>
      <c r="K6" s="12">
        <v>627406</v>
      </c>
      <c r="L6" s="12">
        <f>H6-483527</f>
        <v>241473</v>
      </c>
      <c r="M6" s="12">
        <v>143879</v>
      </c>
      <c r="N6" s="12">
        <f t="shared" si="1"/>
        <v>145000</v>
      </c>
      <c r="O6" s="14">
        <v>0.36699999999999999</v>
      </c>
      <c r="P6" s="12">
        <f t="shared" si="2"/>
        <v>657964.57765667571</v>
      </c>
      <c r="Q6" s="15">
        <f t="shared" si="3"/>
        <v>15.104788284129379</v>
      </c>
      <c r="R6" s="15">
        <f t="shared" si="4"/>
        <v>9.0000200168642071</v>
      </c>
      <c r="S6" s="10" t="s">
        <v>24</v>
      </c>
    </row>
    <row r="7" spans="1:19" x14ac:dyDescent="0.25">
      <c r="A7" s="10" t="s">
        <v>1908</v>
      </c>
      <c r="B7" s="10" t="s">
        <v>1909</v>
      </c>
      <c r="C7" s="10" t="s">
        <v>1899</v>
      </c>
      <c r="D7" s="11">
        <v>45583</v>
      </c>
      <c r="E7" s="12">
        <v>920000</v>
      </c>
      <c r="F7" s="10" t="s">
        <v>22</v>
      </c>
      <c r="G7" s="10" t="s">
        <v>23</v>
      </c>
      <c r="H7" s="12">
        <v>920000</v>
      </c>
      <c r="I7" s="12">
        <v>528700</v>
      </c>
      <c r="J7" s="13">
        <f t="shared" si="0"/>
        <v>57.467391304347828</v>
      </c>
      <c r="K7" s="12">
        <v>1057409</v>
      </c>
      <c r="L7" s="12">
        <f>H7-874718</f>
        <v>45282</v>
      </c>
      <c r="M7" s="12">
        <v>182691</v>
      </c>
      <c r="N7" s="12">
        <f t="shared" si="1"/>
        <v>184000</v>
      </c>
      <c r="O7" s="14">
        <v>0.46600000000000003</v>
      </c>
      <c r="P7" s="12">
        <f t="shared" si="2"/>
        <v>97171.673819742486</v>
      </c>
      <c r="Q7" s="15">
        <f t="shared" si="3"/>
        <v>2.2307546790574491</v>
      </c>
      <c r="R7" s="15">
        <f t="shared" si="4"/>
        <v>9.0000177348987336</v>
      </c>
      <c r="S7" s="10" t="s">
        <v>24</v>
      </c>
    </row>
    <row r="8" spans="1:19" x14ac:dyDescent="0.25">
      <c r="A8" s="10" t="s">
        <v>1910</v>
      </c>
      <c r="B8" s="10" t="s">
        <v>1911</v>
      </c>
      <c r="C8" s="10" t="s">
        <v>1899</v>
      </c>
      <c r="D8" s="11">
        <v>45345</v>
      </c>
      <c r="E8" s="12">
        <v>754200</v>
      </c>
      <c r="F8" s="10" t="s">
        <v>22</v>
      </c>
      <c r="G8" s="10" t="s">
        <v>23</v>
      </c>
      <c r="H8" s="12">
        <v>754200</v>
      </c>
      <c r="I8" s="12">
        <v>403940</v>
      </c>
      <c r="J8" s="13">
        <f t="shared" si="0"/>
        <v>53.558737735348714</v>
      </c>
      <c r="K8" s="12">
        <v>807877</v>
      </c>
      <c r="L8" s="12">
        <f>H8-663998</f>
        <v>90202</v>
      </c>
      <c r="M8" s="12">
        <v>143879</v>
      </c>
      <c r="N8" s="12">
        <f t="shared" si="1"/>
        <v>150840</v>
      </c>
      <c r="O8" s="14">
        <v>0.36699999999999999</v>
      </c>
      <c r="P8" s="12">
        <f t="shared" si="2"/>
        <v>245782.01634877385</v>
      </c>
      <c r="Q8" s="15">
        <f t="shared" si="3"/>
        <v>5.642378704058169</v>
      </c>
      <c r="R8" s="15">
        <f t="shared" si="4"/>
        <v>9.0000200168642071</v>
      </c>
      <c r="S8" s="10" t="s">
        <v>24</v>
      </c>
    </row>
    <row r="9" spans="1:19" x14ac:dyDescent="0.25">
      <c r="A9" s="10" t="s">
        <v>1912</v>
      </c>
      <c r="B9" s="10" t="s">
        <v>1913</v>
      </c>
      <c r="C9" s="10" t="s">
        <v>1899</v>
      </c>
      <c r="D9" s="11">
        <v>45282</v>
      </c>
      <c r="E9" s="12">
        <v>970000</v>
      </c>
      <c r="F9" s="10" t="s">
        <v>29</v>
      </c>
      <c r="G9" s="10" t="s">
        <v>23</v>
      </c>
      <c r="H9" s="12">
        <v>970000</v>
      </c>
      <c r="I9" s="12">
        <v>444590</v>
      </c>
      <c r="J9" s="13">
        <f t="shared" si="0"/>
        <v>45.834020618556707</v>
      </c>
      <c r="K9" s="12">
        <v>889184</v>
      </c>
      <c r="L9" s="12">
        <f>H9-738641</f>
        <v>231359</v>
      </c>
      <c r="M9" s="12">
        <v>150543</v>
      </c>
      <c r="N9" s="12">
        <f t="shared" si="1"/>
        <v>194000</v>
      </c>
      <c r="O9" s="14">
        <v>0.38400000000000001</v>
      </c>
      <c r="P9" s="12">
        <f t="shared" si="2"/>
        <v>602497.39583333337</v>
      </c>
      <c r="Q9" s="15">
        <f t="shared" si="3"/>
        <v>13.831437002601776</v>
      </c>
      <c r="R9" s="15">
        <f t="shared" si="4"/>
        <v>8.9999784779614327</v>
      </c>
      <c r="S9" s="10" t="s">
        <v>24</v>
      </c>
    </row>
    <row r="10" spans="1:19" ht="15.75" thickBot="1" x14ac:dyDescent="0.3">
      <c r="A10" s="16"/>
      <c r="B10" s="16"/>
      <c r="C10" s="16"/>
      <c r="D10" s="17"/>
      <c r="E10" s="18"/>
      <c r="F10" s="16"/>
      <c r="G10" s="16"/>
      <c r="H10" s="18"/>
      <c r="I10" s="18"/>
      <c r="J10" s="19"/>
      <c r="K10" s="18"/>
      <c r="L10" s="18">
        <f>AVERAGE(L2:L9)</f>
        <v>193513.25</v>
      </c>
      <c r="M10" s="18">
        <f>AVERAGE(M2:M9)</f>
        <v>159048.25</v>
      </c>
      <c r="N10" s="18">
        <f>AVERAGE(N2:N9)</f>
        <v>175605</v>
      </c>
      <c r="O10" s="20"/>
      <c r="P10" s="18"/>
      <c r="Q10" s="21">
        <f>AVERAGE(Q2:Q9)</f>
        <v>10.731617112870051</v>
      </c>
      <c r="R10" s="21">
        <f>AVERAGE(R2:R9)</f>
        <v>8.8056370016970416</v>
      </c>
      <c r="S10" s="16"/>
    </row>
    <row r="11" spans="1:19" ht="15.75" thickTop="1" x14ac:dyDescent="0.25">
      <c r="A11" s="10"/>
      <c r="B11" s="10"/>
      <c r="C11" s="10"/>
      <c r="D11" s="11"/>
      <c r="E11" s="12"/>
      <c r="F11" s="10"/>
      <c r="G11" s="10"/>
      <c r="H11" s="12"/>
      <c r="I11" s="12"/>
      <c r="J11" s="13"/>
      <c r="K11" s="12"/>
      <c r="L11" s="12"/>
      <c r="M11" s="12"/>
      <c r="N11" s="12"/>
      <c r="O11" s="14"/>
      <c r="P11" s="12"/>
      <c r="Q11" s="15"/>
      <c r="R11" s="15"/>
      <c r="S11" s="10"/>
    </row>
    <row r="12" spans="1:19" x14ac:dyDescent="0.25">
      <c r="A12" s="10"/>
      <c r="B12" s="10"/>
      <c r="C12" s="10"/>
      <c r="D12" s="11"/>
      <c r="E12" s="12"/>
      <c r="F12" s="10"/>
      <c r="G12" s="10"/>
      <c r="H12" s="12"/>
      <c r="I12" s="12"/>
      <c r="J12" s="13"/>
      <c r="K12" s="12"/>
      <c r="L12" s="12"/>
      <c r="M12" s="12"/>
      <c r="N12" s="12"/>
      <c r="O12" s="14"/>
      <c r="P12" s="12"/>
      <c r="Q12" s="15"/>
      <c r="R12" s="15"/>
      <c r="S12" s="10"/>
    </row>
    <row r="13" spans="1:19" x14ac:dyDescent="0.25">
      <c r="A13" s="10" t="s">
        <v>1914</v>
      </c>
      <c r="B13" s="10" t="s">
        <v>1915</v>
      </c>
      <c r="C13" s="10" t="s">
        <v>1916</v>
      </c>
      <c r="D13" s="11">
        <v>45044</v>
      </c>
      <c r="E13" s="12">
        <v>2300000</v>
      </c>
      <c r="F13" s="10" t="s">
        <v>22</v>
      </c>
      <c r="G13" s="10" t="s">
        <v>23</v>
      </c>
      <c r="H13" s="12">
        <v>2300000</v>
      </c>
      <c r="I13" s="12">
        <v>1066410</v>
      </c>
      <c r="J13" s="13">
        <f t="shared" ref="J13:J26" si="5">I13/H13*100</f>
        <v>46.365652173913041</v>
      </c>
      <c r="K13" s="12">
        <v>2132828</v>
      </c>
      <c r="L13" s="12">
        <f>H13-1816386</f>
        <v>483614</v>
      </c>
      <c r="M13" s="12">
        <v>316442</v>
      </c>
      <c r="N13" s="12">
        <f t="shared" ref="N13:N26" si="6">E13*0.2</f>
        <v>460000</v>
      </c>
      <c r="O13" s="14">
        <v>0.63900000000000001</v>
      </c>
      <c r="P13" s="12">
        <f t="shared" ref="P13:P26" si="7">L13/O13</f>
        <v>756829.42097026599</v>
      </c>
      <c r="Q13" s="15">
        <f t="shared" ref="Q13:Q26" si="8">L13/O13/43560</f>
        <v>17.374412786277915</v>
      </c>
      <c r="R13" s="15">
        <f t="shared" ref="R13:R26" si="9">M13/O13/43560</f>
        <v>11.368558252894575</v>
      </c>
      <c r="S13" s="10" t="s">
        <v>24</v>
      </c>
    </row>
    <row r="14" spans="1:19" x14ac:dyDescent="0.25">
      <c r="A14" s="10" t="s">
        <v>1917</v>
      </c>
      <c r="B14" s="10" t="s">
        <v>1918</v>
      </c>
      <c r="C14" s="10" t="s">
        <v>1916</v>
      </c>
      <c r="D14" s="11">
        <v>45082</v>
      </c>
      <c r="E14" s="12">
        <v>890000</v>
      </c>
      <c r="F14" s="10" t="s">
        <v>29</v>
      </c>
      <c r="G14" s="10" t="s">
        <v>23</v>
      </c>
      <c r="H14" s="12">
        <v>890000</v>
      </c>
      <c r="I14" s="12">
        <v>521010</v>
      </c>
      <c r="J14" s="13">
        <f t="shared" si="5"/>
        <v>58.540449438202245</v>
      </c>
      <c r="K14" s="12">
        <v>1042028</v>
      </c>
      <c r="L14" s="12">
        <f>H14-804190</f>
        <v>85810</v>
      </c>
      <c r="M14" s="12">
        <v>237838</v>
      </c>
      <c r="N14" s="12">
        <f t="shared" si="6"/>
        <v>178000</v>
      </c>
      <c r="O14" s="14">
        <v>0.42</v>
      </c>
      <c r="P14" s="12">
        <f t="shared" si="7"/>
        <v>204309.52380952382</v>
      </c>
      <c r="Q14" s="15">
        <f t="shared" si="8"/>
        <v>4.6903012812103722</v>
      </c>
      <c r="R14" s="15">
        <f t="shared" si="9"/>
        <v>13.000021863658228</v>
      </c>
      <c r="S14" s="10" t="s">
        <v>24</v>
      </c>
    </row>
    <row r="15" spans="1:19" x14ac:dyDescent="0.25">
      <c r="A15" s="10" t="s">
        <v>1919</v>
      </c>
      <c r="B15" s="10" t="s">
        <v>1920</v>
      </c>
      <c r="C15" s="10" t="s">
        <v>1916</v>
      </c>
      <c r="D15" s="11">
        <v>45497</v>
      </c>
      <c r="E15" s="12">
        <v>600000</v>
      </c>
      <c r="F15" s="10" t="s">
        <v>22</v>
      </c>
      <c r="G15" s="10" t="s">
        <v>23</v>
      </c>
      <c r="H15" s="12">
        <v>600000</v>
      </c>
      <c r="I15" s="12">
        <v>262780</v>
      </c>
      <c r="J15" s="13">
        <f t="shared" si="5"/>
        <v>43.796666666666667</v>
      </c>
      <c r="K15" s="12">
        <v>525564</v>
      </c>
      <c r="L15" s="12">
        <f>H15-287783</f>
        <v>312217</v>
      </c>
      <c r="M15" s="12">
        <v>237781</v>
      </c>
      <c r="N15" s="12">
        <f t="shared" si="6"/>
        <v>120000</v>
      </c>
      <c r="O15" s="14">
        <v>0.49399999999999999</v>
      </c>
      <c r="P15" s="12">
        <f t="shared" si="7"/>
        <v>632018.21862348181</v>
      </c>
      <c r="Q15" s="15">
        <f t="shared" si="8"/>
        <v>14.509141841677728</v>
      </c>
      <c r="R15" s="15">
        <f t="shared" si="9"/>
        <v>11.050001301197474</v>
      </c>
      <c r="S15" s="10" t="s">
        <v>24</v>
      </c>
    </row>
    <row r="16" spans="1:19" x14ac:dyDescent="0.25">
      <c r="A16" s="10" t="s">
        <v>1921</v>
      </c>
      <c r="B16" s="10" t="s">
        <v>1922</v>
      </c>
      <c r="C16" s="10" t="s">
        <v>1916</v>
      </c>
      <c r="D16" s="11">
        <v>45092</v>
      </c>
      <c r="E16" s="12">
        <v>1165000</v>
      </c>
      <c r="F16" s="10" t="s">
        <v>29</v>
      </c>
      <c r="G16" s="10" t="s">
        <v>23</v>
      </c>
      <c r="H16" s="12">
        <v>1165000</v>
      </c>
      <c r="I16" s="12">
        <v>687350</v>
      </c>
      <c r="J16" s="13">
        <f t="shared" si="5"/>
        <v>59</v>
      </c>
      <c r="K16" s="12">
        <v>1374708</v>
      </c>
      <c r="L16" s="12">
        <f>H16-1068762</f>
        <v>96238</v>
      </c>
      <c r="M16" s="12">
        <v>305946</v>
      </c>
      <c r="N16" s="12">
        <f t="shared" si="6"/>
        <v>233000</v>
      </c>
      <c r="O16" s="14">
        <v>1.1379999999999999</v>
      </c>
      <c r="P16" s="12">
        <f t="shared" si="7"/>
        <v>84567.662565905106</v>
      </c>
      <c r="Q16" s="15">
        <f t="shared" si="8"/>
        <v>1.9414063949932301</v>
      </c>
      <c r="R16" s="15">
        <f t="shared" si="9"/>
        <v>6.1718398233816032</v>
      </c>
      <c r="S16" s="10" t="s">
        <v>24</v>
      </c>
    </row>
    <row r="17" spans="1:19" x14ac:dyDescent="0.25">
      <c r="A17" s="10" t="s">
        <v>1923</v>
      </c>
      <c r="B17" s="10" t="s">
        <v>1924</v>
      </c>
      <c r="C17" s="10" t="s">
        <v>1916</v>
      </c>
      <c r="D17" s="11">
        <v>45033</v>
      </c>
      <c r="E17" s="12">
        <v>1030000</v>
      </c>
      <c r="F17" s="10" t="s">
        <v>29</v>
      </c>
      <c r="G17" s="10" t="s">
        <v>23</v>
      </c>
      <c r="H17" s="12">
        <v>1030000</v>
      </c>
      <c r="I17" s="12">
        <v>475220</v>
      </c>
      <c r="J17" s="13">
        <f t="shared" si="5"/>
        <v>46.137864077669903</v>
      </c>
      <c r="K17" s="12">
        <v>950447</v>
      </c>
      <c r="L17" s="12">
        <f>H17-640714</f>
        <v>389286</v>
      </c>
      <c r="M17" s="12">
        <v>309733</v>
      </c>
      <c r="N17" s="12">
        <f t="shared" si="6"/>
        <v>206000</v>
      </c>
      <c r="O17" s="14">
        <v>0.61099999999999999</v>
      </c>
      <c r="P17" s="12">
        <f t="shared" si="7"/>
        <v>637129.29623567918</v>
      </c>
      <c r="Q17" s="15">
        <f t="shared" si="8"/>
        <v>14.626476038468301</v>
      </c>
      <c r="R17" s="15">
        <f t="shared" si="9"/>
        <v>11.63746526415772</v>
      </c>
      <c r="S17" s="10" t="s">
        <v>24</v>
      </c>
    </row>
    <row r="18" spans="1:19" x14ac:dyDescent="0.25">
      <c r="A18" s="10" t="s">
        <v>1925</v>
      </c>
      <c r="B18" s="10" t="s">
        <v>1926</v>
      </c>
      <c r="C18" s="10" t="s">
        <v>1916</v>
      </c>
      <c r="D18" s="11">
        <v>45714</v>
      </c>
      <c r="E18" s="12">
        <v>1425000</v>
      </c>
      <c r="F18" s="10" t="s">
        <v>22</v>
      </c>
      <c r="G18" s="10" t="s">
        <v>23</v>
      </c>
      <c r="H18" s="12">
        <v>1425000</v>
      </c>
      <c r="I18" s="12">
        <v>826270</v>
      </c>
      <c r="J18" s="13">
        <f t="shared" si="5"/>
        <v>57.983859649122806</v>
      </c>
      <c r="K18" s="12">
        <v>1652549</v>
      </c>
      <c r="L18" s="12">
        <f>H18-1373391</f>
        <v>51609</v>
      </c>
      <c r="M18" s="12">
        <v>279158</v>
      </c>
      <c r="N18" s="12">
        <f t="shared" si="6"/>
        <v>285000</v>
      </c>
      <c r="O18" s="14">
        <v>0.68899999999999995</v>
      </c>
      <c r="P18" s="12">
        <f t="shared" si="7"/>
        <v>74904.208998548624</v>
      </c>
      <c r="Q18" s="15">
        <f t="shared" si="8"/>
        <v>1.7195640265966168</v>
      </c>
      <c r="R18" s="15">
        <f t="shared" si="9"/>
        <v>9.3012857163800575</v>
      </c>
      <c r="S18" s="10" t="s">
        <v>24</v>
      </c>
    </row>
    <row r="19" spans="1:19" x14ac:dyDescent="0.25">
      <c r="A19" s="10" t="s">
        <v>1927</v>
      </c>
      <c r="B19" s="10" t="s">
        <v>1928</v>
      </c>
      <c r="C19" s="10" t="s">
        <v>1916</v>
      </c>
      <c r="D19" s="11">
        <v>45076</v>
      </c>
      <c r="E19" s="12">
        <v>1425000</v>
      </c>
      <c r="F19" s="10" t="s">
        <v>22</v>
      </c>
      <c r="G19" s="10" t="s">
        <v>23</v>
      </c>
      <c r="H19" s="12">
        <v>1425000</v>
      </c>
      <c r="I19" s="12">
        <v>658590</v>
      </c>
      <c r="J19" s="13">
        <f t="shared" si="5"/>
        <v>46.216842105263154</v>
      </c>
      <c r="K19" s="12">
        <v>1317187</v>
      </c>
      <c r="L19" s="12">
        <f>H19-981819</f>
        <v>443181</v>
      </c>
      <c r="M19" s="12">
        <v>335368</v>
      </c>
      <c r="N19" s="12">
        <f t="shared" si="6"/>
        <v>285000</v>
      </c>
      <c r="O19" s="14">
        <v>0.71799999999999997</v>
      </c>
      <c r="P19" s="12">
        <f t="shared" si="7"/>
        <v>617243.73259052925</v>
      </c>
      <c r="Q19" s="15">
        <f t="shared" si="8"/>
        <v>14.169966312913894</v>
      </c>
      <c r="R19" s="15">
        <f t="shared" si="9"/>
        <v>10.722827157367549</v>
      </c>
      <c r="S19" s="10" t="s">
        <v>24</v>
      </c>
    </row>
    <row r="20" spans="1:19" x14ac:dyDescent="0.25">
      <c r="A20" s="10" t="s">
        <v>1929</v>
      </c>
      <c r="B20" s="10" t="s">
        <v>1930</v>
      </c>
      <c r="C20" s="10" t="s">
        <v>1916</v>
      </c>
      <c r="D20" s="11">
        <v>45351</v>
      </c>
      <c r="E20" s="12">
        <v>1088000</v>
      </c>
      <c r="F20" s="10" t="s">
        <v>29</v>
      </c>
      <c r="G20" s="10" t="s">
        <v>23</v>
      </c>
      <c r="H20" s="12">
        <v>1088000</v>
      </c>
      <c r="I20" s="12">
        <v>608890</v>
      </c>
      <c r="J20" s="13">
        <f t="shared" si="5"/>
        <v>55.96415441176471</v>
      </c>
      <c r="K20" s="12">
        <v>1217776</v>
      </c>
      <c r="L20" s="12">
        <f>H20-916667</f>
        <v>171333</v>
      </c>
      <c r="M20" s="12">
        <v>301109</v>
      </c>
      <c r="N20" s="12">
        <f t="shared" si="6"/>
        <v>217600</v>
      </c>
      <c r="O20" s="14">
        <v>0.57499999999999996</v>
      </c>
      <c r="P20" s="12">
        <f t="shared" si="7"/>
        <v>297970.4347826087</v>
      </c>
      <c r="Q20" s="15">
        <f t="shared" si="8"/>
        <v>6.8404599353215954</v>
      </c>
      <c r="R20" s="15">
        <f t="shared" si="9"/>
        <v>12.021759092905338</v>
      </c>
      <c r="S20" s="10" t="s">
        <v>24</v>
      </c>
    </row>
    <row r="21" spans="1:19" x14ac:dyDescent="0.25">
      <c r="A21" s="10" t="s">
        <v>1931</v>
      </c>
      <c r="B21" s="10" t="s">
        <v>1932</v>
      </c>
      <c r="C21" s="10" t="s">
        <v>1916</v>
      </c>
      <c r="D21" s="11">
        <v>45117</v>
      </c>
      <c r="E21" s="12">
        <v>1450000</v>
      </c>
      <c r="F21" s="10" t="s">
        <v>22</v>
      </c>
      <c r="G21" s="10" t="s">
        <v>23</v>
      </c>
      <c r="H21" s="12">
        <v>1450000</v>
      </c>
      <c r="I21" s="12">
        <v>623820</v>
      </c>
      <c r="J21" s="13">
        <f t="shared" si="5"/>
        <v>43.022068965517242</v>
      </c>
      <c r="K21" s="12">
        <v>1247639</v>
      </c>
      <c r="L21" s="12">
        <f>H21-933354</f>
        <v>516646</v>
      </c>
      <c r="M21" s="12">
        <v>314285</v>
      </c>
      <c r="N21" s="12">
        <f t="shared" si="6"/>
        <v>290000</v>
      </c>
      <c r="O21" s="14">
        <v>0.63</v>
      </c>
      <c r="P21" s="12">
        <f t="shared" si="7"/>
        <v>820073.01587301586</v>
      </c>
      <c r="Q21" s="15">
        <f t="shared" si="8"/>
        <v>18.826285947498068</v>
      </c>
      <c r="R21" s="15">
        <f t="shared" si="9"/>
        <v>11.452366376608801</v>
      </c>
      <c r="S21" s="10" t="s">
        <v>24</v>
      </c>
    </row>
    <row r="22" spans="1:19" x14ac:dyDescent="0.25">
      <c r="A22" s="10" t="s">
        <v>1933</v>
      </c>
      <c r="B22" s="10" t="s">
        <v>1934</v>
      </c>
      <c r="C22" s="10" t="s">
        <v>1916</v>
      </c>
      <c r="D22" s="11">
        <v>45184</v>
      </c>
      <c r="E22" s="12">
        <v>1125000</v>
      </c>
      <c r="F22" s="10" t="s">
        <v>22</v>
      </c>
      <c r="G22" s="10" t="s">
        <v>23</v>
      </c>
      <c r="H22" s="12">
        <v>1125000</v>
      </c>
      <c r="I22" s="12">
        <v>613290</v>
      </c>
      <c r="J22" s="13">
        <f t="shared" si="5"/>
        <v>54.51466666666667</v>
      </c>
      <c r="K22" s="12">
        <v>1226574</v>
      </c>
      <c r="L22" s="12">
        <f>H22-941038</f>
        <v>183962</v>
      </c>
      <c r="M22" s="12">
        <v>285536</v>
      </c>
      <c r="N22" s="12">
        <f t="shared" si="6"/>
        <v>225000</v>
      </c>
      <c r="O22" s="14">
        <v>0.51</v>
      </c>
      <c r="P22" s="12">
        <f t="shared" si="7"/>
        <v>360709.80392156861</v>
      </c>
      <c r="Q22" s="15">
        <f t="shared" si="8"/>
        <v>8.2807576657844031</v>
      </c>
      <c r="R22" s="15">
        <f t="shared" si="9"/>
        <v>12.852950179153387</v>
      </c>
      <c r="S22" s="10" t="s">
        <v>24</v>
      </c>
    </row>
    <row r="23" spans="1:19" x14ac:dyDescent="0.25">
      <c r="A23" s="10" t="s">
        <v>1935</v>
      </c>
      <c r="B23" s="10" t="s">
        <v>1936</v>
      </c>
      <c r="C23" s="10" t="s">
        <v>1916</v>
      </c>
      <c r="D23" s="11">
        <v>45106</v>
      </c>
      <c r="E23" s="12">
        <v>635000</v>
      </c>
      <c r="F23" s="10" t="s">
        <v>22</v>
      </c>
      <c r="G23" s="10" t="s">
        <v>23</v>
      </c>
      <c r="H23" s="12">
        <v>635000</v>
      </c>
      <c r="I23" s="12">
        <v>360400</v>
      </c>
      <c r="J23" s="13">
        <f t="shared" si="5"/>
        <v>56.755905511811022</v>
      </c>
      <c r="K23" s="12">
        <v>720796</v>
      </c>
      <c r="L23" s="12">
        <f>H23-433104</f>
        <v>201896</v>
      </c>
      <c r="M23" s="12">
        <v>287692</v>
      </c>
      <c r="N23" s="12">
        <f t="shared" si="6"/>
        <v>127000</v>
      </c>
      <c r="O23" s="14">
        <v>0.51900000000000002</v>
      </c>
      <c r="P23" s="12">
        <f t="shared" si="7"/>
        <v>389009.63391136803</v>
      </c>
      <c r="Q23" s="15">
        <f t="shared" si="8"/>
        <v>8.9304323671112957</v>
      </c>
      <c r="R23" s="15">
        <f t="shared" si="9"/>
        <v>12.725432641354869</v>
      </c>
      <c r="S23" s="10" t="s">
        <v>24</v>
      </c>
    </row>
    <row r="24" spans="1:19" x14ac:dyDescent="0.25">
      <c r="A24" s="10" t="s">
        <v>1937</v>
      </c>
      <c r="B24" s="10" t="s">
        <v>1938</v>
      </c>
      <c r="C24" s="10" t="s">
        <v>1916</v>
      </c>
      <c r="D24" s="11">
        <v>45177</v>
      </c>
      <c r="E24" s="12">
        <v>730000</v>
      </c>
      <c r="F24" s="10" t="s">
        <v>22</v>
      </c>
      <c r="G24" s="10" t="s">
        <v>23</v>
      </c>
      <c r="H24" s="12">
        <v>730000</v>
      </c>
      <c r="I24" s="12">
        <v>412910</v>
      </c>
      <c r="J24" s="13">
        <f t="shared" si="5"/>
        <v>56.563013698630137</v>
      </c>
      <c r="K24" s="12">
        <v>825812</v>
      </c>
      <c r="L24" s="12">
        <f>H24-529735</f>
        <v>200265</v>
      </c>
      <c r="M24" s="12">
        <v>296077</v>
      </c>
      <c r="N24" s="12">
        <f t="shared" si="6"/>
        <v>146000</v>
      </c>
      <c r="O24" s="14">
        <v>0.55400000000000005</v>
      </c>
      <c r="P24" s="12">
        <f t="shared" si="7"/>
        <v>361489.16967509023</v>
      </c>
      <c r="Q24" s="15">
        <f t="shared" si="8"/>
        <v>8.2986494415769112</v>
      </c>
      <c r="R24" s="15">
        <f t="shared" si="9"/>
        <v>12.268939808322807</v>
      </c>
      <c r="S24" s="10" t="s">
        <v>24</v>
      </c>
    </row>
    <row r="25" spans="1:19" x14ac:dyDescent="0.25">
      <c r="A25" s="10" t="s">
        <v>1937</v>
      </c>
      <c r="B25" s="10" t="s">
        <v>1938</v>
      </c>
      <c r="C25" s="10" t="s">
        <v>1916</v>
      </c>
      <c r="D25" s="11">
        <v>45457</v>
      </c>
      <c r="E25" s="12">
        <v>1674000</v>
      </c>
      <c r="F25" s="10" t="s">
        <v>29</v>
      </c>
      <c r="G25" s="10" t="s">
        <v>23</v>
      </c>
      <c r="H25" s="12">
        <v>1674000</v>
      </c>
      <c r="I25" s="12">
        <v>412910</v>
      </c>
      <c r="J25" s="13">
        <f t="shared" si="5"/>
        <v>24.666069295101554</v>
      </c>
      <c r="K25" s="12">
        <v>825812</v>
      </c>
      <c r="L25" s="12">
        <f>H25-529735</f>
        <v>1144265</v>
      </c>
      <c r="M25" s="12">
        <v>296077</v>
      </c>
      <c r="N25" s="12">
        <f t="shared" si="6"/>
        <v>334800</v>
      </c>
      <c r="O25" s="14">
        <v>0.55400000000000005</v>
      </c>
      <c r="P25" s="12">
        <f t="shared" si="7"/>
        <v>2065460.2888086641</v>
      </c>
      <c r="Q25" s="15">
        <f t="shared" si="8"/>
        <v>47.416443728389901</v>
      </c>
      <c r="R25" s="15">
        <f t="shared" si="9"/>
        <v>12.268939808322807</v>
      </c>
      <c r="S25" s="10" t="s">
        <v>24</v>
      </c>
    </row>
    <row r="26" spans="1:19" x14ac:dyDescent="0.25">
      <c r="A26" s="10" t="s">
        <v>1939</v>
      </c>
      <c r="B26" s="10" t="s">
        <v>1940</v>
      </c>
      <c r="C26" s="10" t="s">
        <v>1916</v>
      </c>
      <c r="D26" s="11">
        <v>45160</v>
      </c>
      <c r="E26" s="12">
        <v>1015000</v>
      </c>
      <c r="F26" s="10" t="s">
        <v>22</v>
      </c>
      <c r="G26" s="10" t="s">
        <v>23</v>
      </c>
      <c r="H26" s="12">
        <v>1015000</v>
      </c>
      <c r="I26" s="12">
        <v>409300</v>
      </c>
      <c r="J26" s="13">
        <f t="shared" si="5"/>
        <v>40.325123152709359</v>
      </c>
      <c r="K26" s="12">
        <v>818595</v>
      </c>
      <c r="L26" s="12">
        <f>H26-526591</f>
        <v>488409</v>
      </c>
      <c r="M26" s="12">
        <v>292004</v>
      </c>
      <c r="N26" s="12">
        <f t="shared" si="6"/>
        <v>203000</v>
      </c>
      <c r="O26" s="14">
        <v>0.53700000000000003</v>
      </c>
      <c r="P26" s="12">
        <f t="shared" si="7"/>
        <v>909513.96648044686</v>
      </c>
      <c r="Q26" s="15">
        <f t="shared" si="8"/>
        <v>20.879567641883536</v>
      </c>
      <c r="R26" s="15">
        <f t="shared" si="9"/>
        <v>12.483220558385614</v>
      </c>
      <c r="S26" s="10" t="s">
        <v>24</v>
      </c>
    </row>
    <row r="27" spans="1:19" ht="15.75" thickBot="1" x14ac:dyDescent="0.3">
      <c r="A27" s="16"/>
      <c r="B27" s="16"/>
      <c r="C27" s="16"/>
      <c r="D27" s="17"/>
      <c r="E27" s="18"/>
      <c r="F27" s="16"/>
      <c r="G27" s="16"/>
      <c r="H27" s="18"/>
      <c r="I27" s="18"/>
      <c r="J27" s="19"/>
      <c r="K27" s="18"/>
      <c r="L27" s="18">
        <f>AVERAGE(L13:L26)</f>
        <v>340623.64285714284</v>
      </c>
      <c r="M27" s="18">
        <f>AVERAGE(M13:M26)</f>
        <v>292503.28571428574</v>
      </c>
      <c r="N27" s="18">
        <f>AVERAGE(N13:N26)</f>
        <v>236457.14285714287</v>
      </c>
      <c r="O27" s="20"/>
      <c r="P27" s="18"/>
      <c r="Q27" s="21">
        <f>AVERAGE(Q13:Q26)</f>
        <v>13.46456181497884</v>
      </c>
      <c r="R27" s="21">
        <f>AVERAGE(R13:R26)</f>
        <v>11.380400560292202</v>
      </c>
      <c r="S27" s="16"/>
    </row>
    <row r="28" spans="1:19" ht="15.75" thickTop="1" x14ac:dyDescent="0.25">
      <c r="A28" s="10"/>
      <c r="B28" s="10"/>
      <c r="C28" s="10"/>
      <c r="D28" s="11"/>
      <c r="E28" s="12"/>
      <c r="F28" s="10"/>
      <c r="G28" s="10"/>
      <c r="H28" s="12"/>
      <c r="I28" s="12"/>
      <c r="J28" s="13"/>
      <c r="K28" s="12"/>
      <c r="L28" s="12"/>
      <c r="M28" s="12"/>
      <c r="N28" s="12"/>
      <c r="O28" s="14"/>
      <c r="P28" s="12"/>
      <c r="Q28" s="15"/>
      <c r="R28" s="15"/>
      <c r="S28" s="10"/>
    </row>
    <row r="29" spans="1:19" x14ac:dyDescent="0.25">
      <c r="A29" s="10"/>
      <c r="B29" s="10"/>
      <c r="C29" s="10"/>
      <c r="D29" s="11"/>
      <c r="E29" s="12"/>
      <c r="F29" s="10"/>
      <c r="G29" s="10"/>
      <c r="H29" s="12"/>
      <c r="I29" s="12"/>
      <c r="J29" s="13"/>
      <c r="K29" s="12"/>
      <c r="L29" s="12"/>
      <c r="M29" s="12"/>
      <c r="N29" s="12"/>
      <c r="O29" s="14"/>
      <c r="P29" s="12"/>
      <c r="Q29" s="15"/>
      <c r="R29" s="15"/>
      <c r="S29" s="10"/>
    </row>
    <row r="30" spans="1:19" x14ac:dyDescent="0.25">
      <c r="A30" s="10" t="s">
        <v>1941</v>
      </c>
      <c r="B30" s="10" t="s">
        <v>1942</v>
      </c>
      <c r="C30" s="10" t="s">
        <v>1943</v>
      </c>
      <c r="D30" s="11">
        <v>45117</v>
      </c>
      <c r="E30" s="12">
        <v>3101000</v>
      </c>
      <c r="F30" s="10" t="s">
        <v>22</v>
      </c>
      <c r="G30" s="10" t="s">
        <v>23</v>
      </c>
      <c r="H30" s="12">
        <v>3101000</v>
      </c>
      <c r="I30" s="12">
        <v>1115690</v>
      </c>
      <c r="J30" s="13">
        <f t="shared" ref="J30:J61" si="10">I30/H30*100</f>
        <v>35.978394066430184</v>
      </c>
      <c r="K30" s="12">
        <v>2231384</v>
      </c>
      <c r="L30" s="12">
        <f>H30-1453216</f>
        <v>1647784</v>
      </c>
      <c r="M30" s="12">
        <v>778168</v>
      </c>
      <c r="N30" s="12">
        <f t="shared" ref="N30:N61" si="11">E30*0.2</f>
        <v>620200</v>
      </c>
      <c r="O30" s="14">
        <v>1.111</v>
      </c>
      <c r="P30" s="12">
        <f t="shared" ref="P30:P61" si="12">L30/O30</f>
        <v>1483153.9153915392</v>
      </c>
      <c r="Q30" s="15">
        <f t="shared" ref="Q30:Q61" si="13">L30/O30/43560</f>
        <v>34.048528819824135</v>
      </c>
      <c r="R30" s="15">
        <f t="shared" ref="R30:R61" si="14">M30/O30/43560</f>
        <v>16.079459185587982</v>
      </c>
      <c r="S30" s="10" t="s">
        <v>24</v>
      </c>
    </row>
    <row r="31" spans="1:19" x14ac:dyDescent="0.25">
      <c r="A31" s="10" t="s">
        <v>1944</v>
      </c>
      <c r="B31" s="10" t="s">
        <v>1945</v>
      </c>
      <c r="C31" s="10" t="s">
        <v>1943</v>
      </c>
      <c r="D31" s="11">
        <v>45091</v>
      </c>
      <c r="E31" s="12">
        <v>3860000</v>
      </c>
      <c r="F31" s="10" t="s">
        <v>29</v>
      </c>
      <c r="G31" s="10" t="s">
        <v>23</v>
      </c>
      <c r="H31" s="12">
        <v>3860000</v>
      </c>
      <c r="I31" s="12">
        <v>1643740</v>
      </c>
      <c r="J31" s="13">
        <f t="shared" si="10"/>
        <v>42.583937823834198</v>
      </c>
      <c r="K31" s="12">
        <v>3287486</v>
      </c>
      <c r="L31" s="12">
        <f>H31-2565917</f>
        <v>1294083</v>
      </c>
      <c r="M31" s="12">
        <v>721569</v>
      </c>
      <c r="N31" s="12">
        <f t="shared" si="11"/>
        <v>772000</v>
      </c>
      <c r="O31" s="14">
        <v>1.069</v>
      </c>
      <c r="P31" s="12">
        <f t="shared" si="12"/>
        <v>1210554.72404116</v>
      </c>
      <c r="Q31" s="15">
        <f t="shared" si="13"/>
        <v>27.790512489466483</v>
      </c>
      <c r="R31" s="15">
        <f t="shared" si="14"/>
        <v>15.495738918223825</v>
      </c>
      <c r="S31" s="10" t="s">
        <v>24</v>
      </c>
    </row>
    <row r="32" spans="1:19" x14ac:dyDescent="0.25">
      <c r="A32" s="10" t="s">
        <v>1946</v>
      </c>
      <c r="B32" s="10" t="s">
        <v>1947</v>
      </c>
      <c r="C32" s="10" t="s">
        <v>1943</v>
      </c>
      <c r="D32" s="11">
        <v>45044</v>
      </c>
      <c r="E32" s="12">
        <v>1915000</v>
      </c>
      <c r="F32" s="10" t="s">
        <v>29</v>
      </c>
      <c r="G32" s="10" t="s">
        <v>23</v>
      </c>
      <c r="H32" s="12">
        <v>1915000</v>
      </c>
      <c r="I32" s="12">
        <v>1009300</v>
      </c>
      <c r="J32" s="13">
        <f t="shared" si="10"/>
        <v>52.704960835509141</v>
      </c>
      <c r="K32" s="12">
        <v>2018593</v>
      </c>
      <c r="L32" s="12">
        <f>H32-1451529</f>
        <v>463471</v>
      </c>
      <c r="M32" s="12">
        <v>567064</v>
      </c>
      <c r="N32" s="12">
        <f t="shared" si="11"/>
        <v>383000</v>
      </c>
      <c r="O32" s="14">
        <v>0.66200000000000003</v>
      </c>
      <c r="P32" s="12">
        <f t="shared" si="12"/>
        <v>700107.25075528701</v>
      </c>
      <c r="Q32" s="15">
        <f t="shared" si="13"/>
        <v>16.072250935612651</v>
      </c>
      <c r="R32" s="15">
        <f t="shared" si="14"/>
        <v>19.664649793735208</v>
      </c>
      <c r="S32" s="10" t="s">
        <v>24</v>
      </c>
    </row>
    <row r="33" spans="1:19" x14ac:dyDescent="0.25">
      <c r="A33" s="10" t="s">
        <v>1948</v>
      </c>
      <c r="B33" s="10" t="s">
        <v>1949</v>
      </c>
      <c r="C33" s="10" t="s">
        <v>1943</v>
      </c>
      <c r="D33" s="11">
        <v>45474</v>
      </c>
      <c r="E33" s="12">
        <v>1300000</v>
      </c>
      <c r="F33" s="10" t="s">
        <v>22</v>
      </c>
      <c r="G33" s="10" t="s">
        <v>23</v>
      </c>
      <c r="H33" s="12">
        <v>1300000</v>
      </c>
      <c r="I33" s="12">
        <v>653250</v>
      </c>
      <c r="J33" s="13">
        <f t="shared" si="10"/>
        <v>50.249999999999993</v>
      </c>
      <c r="K33" s="12">
        <v>1306501</v>
      </c>
      <c r="L33" s="12">
        <f>H33-887446</f>
        <v>412554</v>
      </c>
      <c r="M33" s="12">
        <v>419055</v>
      </c>
      <c r="N33" s="12">
        <f t="shared" si="11"/>
        <v>260000</v>
      </c>
      <c r="O33" s="14">
        <v>0.47099999999999997</v>
      </c>
      <c r="P33" s="12">
        <f t="shared" si="12"/>
        <v>875910.82802547771</v>
      </c>
      <c r="Q33" s="15">
        <f t="shared" si="13"/>
        <v>20.108145730612435</v>
      </c>
      <c r="R33" s="15">
        <f t="shared" si="14"/>
        <v>20.425008627093167</v>
      </c>
      <c r="S33" s="10" t="s">
        <v>24</v>
      </c>
    </row>
    <row r="34" spans="1:19" x14ac:dyDescent="0.25">
      <c r="A34" s="10" t="s">
        <v>1950</v>
      </c>
      <c r="B34" s="10" t="s">
        <v>1951</v>
      </c>
      <c r="C34" s="10" t="s">
        <v>1943</v>
      </c>
      <c r="D34" s="11">
        <v>45371</v>
      </c>
      <c r="E34" s="12">
        <v>1110000</v>
      </c>
      <c r="F34" s="10" t="s">
        <v>29</v>
      </c>
      <c r="G34" s="10" t="s">
        <v>23</v>
      </c>
      <c r="H34" s="12">
        <v>1110000</v>
      </c>
      <c r="I34" s="12">
        <v>483080</v>
      </c>
      <c r="J34" s="13">
        <f t="shared" si="10"/>
        <v>43.520720720720718</v>
      </c>
      <c r="K34" s="12">
        <v>966164</v>
      </c>
      <c r="L34" s="12">
        <f>H34-637860</f>
        <v>472140</v>
      </c>
      <c r="M34" s="12">
        <v>328304</v>
      </c>
      <c r="N34" s="12">
        <f t="shared" si="11"/>
        <v>222000</v>
      </c>
      <c r="O34" s="14">
        <v>0.36899999999999999</v>
      </c>
      <c r="P34" s="12">
        <f t="shared" si="12"/>
        <v>1279512.1951219512</v>
      </c>
      <c r="Q34" s="15">
        <f t="shared" si="13"/>
        <v>29.373558198391901</v>
      </c>
      <c r="R34" s="15">
        <f t="shared" si="14"/>
        <v>20.424993965274822</v>
      </c>
      <c r="S34" s="10" t="s">
        <v>24</v>
      </c>
    </row>
    <row r="35" spans="1:19" x14ac:dyDescent="0.25">
      <c r="A35" s="10" t="s">
        <v>1952</v>
      </c>
      <c r="B35" s="10" t="s">
        <v>1953</v>
      </c>
      <c r="C35" s="10" t="s">
        <v>1943</v>
      </c>
      <c r="D35" s="11">
        <v>45215</v>
      </c>
      <c r="E35" s="12">
        <v>1700000</v>
      </c>
      <c r="F35" s="10" t="s">
        <v>22</v>
      </c>
      <c r="G35" s="10" t="s">
        <v>23</v>
      </c>
      <c r="H35" s="12">
        <v>1700000</v>
      </c>
      <c r="I35" s="12">
        <v>624120</v>
      </c>
      <c r="J35" s="13">
        <f t="shared" si="10"/>
        <v>36.712941176470586</v>
      </c>
      <c r="K35" s="12">
        <v>1248239</v>
      </c>
      <c r="L35" s="12">
        <f>H35-806052</f>
        <v>893948</v>
      </c>
      <c r="M35" s="12">
        <v>442187</v>
      </c>
      <c r="N35" s="12">
        <f t="shared" si="11"/>
        <v>340000</v>
      </c>
      <c r="O35" s="14">
        <v>0.497</v>
      </c>
      <c r="P35" s="12">
        <f t="shared" si="12"/>
        <v>1798688.1287726357</v>
      </c>
      <c r="Q35" s="15">
        <f t="shared" si="13"/>
        <v>41.2921976302258</v>
      </c>
      <c r="R35" s="15">
        <f t="shared" si="14"/>
        <v>20.424983325111366</v>
      </c>
      <c r="S35" s="10" t="s">
        <v>24</v>
      </c>
    </row>
    <row r="36" spans="1:19" x14ac:dyDescent="0.25">
      <c r="A36" s="10" t="s">
        <v>1954</v>
      </c>
      <c r="B36" s="10" t="s">
        <v>1955</v>
      </c>
      <c r="C36" s="10" t="s">
        <v>1943</v>
      </c>
      <c r="D36" s="11">
        <v>45149</v>
      </c>
      <c r="E36" s="12">
        <v>1241500</v>
      </c>
      <c r="F36" s="10" t="s">
        <v>22</v>
      </c>
      <c r="G36" s="10" t="s">
        <v>23</v>
      </c>
      <c r="H36" s="12">
        <v>1241500</v>
      </c>
      <c r="I36" s="12">
        <v>539920</v>
      </c>
      <c r="J36" s="13">
        <f t="shared" si="10"/>
        <v>43.489327426500203</v>
      </c>
      <c r="K36" s="12">
        <v>1079830</v>
      </c>
      <c r="L36" s="12">
        <f>H36-826262</f>
        <v>415238</v>
      </c>
      <c r="M36" s="12">
        <v>253568</v>
      </c>
      <c r="N36" s="12">
        <f t="shared" si="11"/>
        <v>248300</v>
      </c>
      <c r="O36" s="14">
        <v>0.28499999999999998</v>
      </c>
      <c r="P36" s="12">
        <f t="shared" si="12"/>
        <v>1456975.4385964915</v>
      </c>
      <c r="Q36" s="15">
        <f t="shared" si="13"/>
        <v>33.44755368678814</v>
      </c>
      <c r="R36" s="15">
        <f t="shared" si="14"/>
        <v>20.424983487184448</v>
      </c>
      <c r="S36" s="10" t="s">
        <v>24</v>
      </c>
    </row>
    <row r="37" spans="1:19" x14ac:dyDescent="0.25">
      <c r="A37" s="10" t="s">
        <v>1956</v>
      </c>
      <c r="B37" s="10" t="s">
        <v>1957</v>
      </c>
      <c r="C37" s="10" t="s">
        <v>1943</v>
      </c>
      <c r="D37" s="11">
        <v>45163</v>
      </c>
      <c r="E37" s="12">
        <v>1275000</v>
      </c>
      <c r="F37" s="10" t="s">
        <v>22</v>
      </c>
      <c r="G37" s="10" t="s">
        <v>23</v>
      </c>
      <c r="H37" s="12">
        <v>1275000</v>
      </c>
      <c r="I37" s="12">
        <v>558130</v>
      </c>
      <c r="J37" s="13">
        <f t="shared" si="10"/>
        <v>43.774901960784312</v>
      </c>
      <c r="K37" s="12">
        <v>1116253</v>
      </c>
      <c r="L37" s="12">
        <f>H37-860578</f>
        <v>414422</v>
      </c>
      <c r="M37" s="12">
        <v>255675</v>
      </c>
      <c r="N37" s="12">
        <f t="shared" si="11"/>
        <v>255000</v>
      </c>
      <c r="O37" s="14">
        <v>0.27300000000000002</v>
      </c>
      <c r="P37" s="12">
        <f t="shared" si="12"/>
        <v>1518029.3040293038</v>
      </c>
      <c r="Q37" s="15">
        <f t="shared" si="13"/>
        <v>34.849157576430301</v>
      </c>
      <c r="R37" s="15">
        <f t="shared" si="14"/>
        <v>21.499964681782863</v>
      </c>
      <c r="S37" s="10" t="s">
        <v>24</v>
      </c>
    </row>
    <row r="38" spans="1:19" x14ac:dyDescent="0.25">
      <c r="A38" s="10" t="s">
        <v>1958</v>
      </c>
      <c r="B38" s="10" t="s">
        <v>1959</v>
      </c>
      <c r="C38" s="10" t="s">
        <v>1943</v>
      </c>
      <c r="D38" s="11">
        <v>45169</v>
      </c>
      <c r="E38" s="12">
        <v>1150000</v>
      </c>
      <c r="F38" s="10" t="s">
        <v>29</v>
      </c>
      <c r="G38" s="10" t="s">
        <v>23</v>
      </c>
      <c r="H38" s="12">
        <v>1150000</v>
      </c>
      <c r="I38" s="12">
        <v>494210</v>
      </c>
      <c r="J38" s="13">
        <f t="shared" si="10"/>
        <v>42.974782608695648</v>
      </c>
      <c r="K38" s="12">
        <v>988425</v>
      </c>
      <c r="L38" s="12">
        <f>H38-736496</f>
        <v>413504</v>
      </c>
      <c r="M38" s="12">
        <v>251929</v>
      </c>
      <c r="N38" s="12">
        <f t="shared" si="11"/>
        <v>230000</v>
      </c>
      <c r="O38" s="14">
        <v>0.26900000000000002</v>
      </c>
      <c r="P38" s="12">
        <f t="shared" si="12"/>
        <v>1537189.5910780667</v>
      </c>
      <c r="Q38" s="15">
        <f t="shared" si="13"/>
        <v>35.289017242379863</v>
      </c>
      <c r="R38" s="15">
        <f t="shared" si="14"/>
        <v>21.499977811231613</v>
      </c>
      <c r="S38" s="10" t="s">
        <v>24</v>
      </c>
    </row>
    <row r="39" spans="1:19" x14ac:dyDescent="0.25">
      <c r="A39" s="10" t="s">
        <v>1960</v>
      </c>
      <c r="B39" s="10" t="s">
        <v>1961</v>
      </c>
      <c r="C39" s="10" t="s">
        <v>1943</v>
      </c>
      <c r="D39" s="11">
        <v>45274</v>
      </c>
      <c r="E39" s="12">
        <v>1062500</v>
      </c>
      <c r="F39" s="10" t="s">
        <v>22</v>
      </c>
      <c r="G39" s="10" t="s">
        <v>23</v>
      </c>
      <c r="H39" s="12">
        <v>1062500</v>
      </c>
      <c r="I39" s="12">
        <v>582230</v>
      </c>
      <c r="J39" s="13">
        <f t="shared" si="10"/>
        <v>54.798117647058817</v>
      </c>
      <c r="K39" s="12">
        <v>1164464</v>
      </c>
      <c r="L39" s="12">
        <f>H39-738291</f>
        <v>324209</v>
      </c>
      <c r="M39" s="12">
        <v>426173</v>
      </c>
      <c r="N39" s="12">
        <f t="shared" si="11"/>
        <v>212500</v>
      </c>
      <c r="O39" s="14">
        <v>0.47899999999999998</v>
      </c>
      <c r="P39" s="12">
        <f t="shared" si="12"/>
        <v>676845.51148225472</v>
      </c>
      <c r="Q39" s="15">
        <f t="shared" si="13"/>
        <v>15.538234882512734</v>
      </c>
      <c r="R39" s="15">
        <f t="shared" si="14"/>
        <v>20.425022669281542</v>
      </c>
      <c r="S39" s="10" t="s">
        <v>24</v>
      </c>
    </row>
    <row r="40" spans="1:19" x14ac:dyDescent="0.25">
      <c r="A40" s="10" t="s">
        <v>1962</v>
      </c>
      <c r="B40" s="10" t="s">
        <v>1963</v>
      </c>
      <c r="C40" s="10" t="s">
        <v>1943</v>
      </c>
      <c r="D40" s="11">
        <v>45163</v>
      </c>
      <c r="E40" s="12">
        <v>965000</v>
      </c>
      <c r="F40" s="10" t="s">
        <v>22</v>
      </c>
      <c r="G40" s="10" t="s">
        <v>23</v>
      </c>
      <c r="H40" s="12">
        <v>965000</v>
      </c>
      <c r="I40" s="12">
        <v>390370</v>
      </c>
      <c r="J40" s="13">
        <f t="shared" si="10"/>
        <v>40.452849740932642</v>
      </c>
      <c r="K40" s="12">
        <v>780748</v>
      </c>
      <c r="L40" s="12">
        <f>H40-512898</f>
        <v>452102</v>
      </c>
      <c r="M40" s="12">
        <v>267850</v>
      </c>
      <c r="N40" s="12">
        <f t="shared" si="11"/>
        <v>193000</v>
      </c>
      <c r="O40" s="14">
        <v>0.28599999999999998</v>
      </c>
      <c r="P40" s="12">
        <f t="shared" si="12"/>
        <v>1580776.2237762238</v>
      </c>
      <c r="Q40" s="15">
        <f t="shared" si="13"/>
        <v>36.289628645000548</v>
      </c>
      <c r="R40" s="15">
        <f t="shared" si="14"/>
        <v>21.499964681782867</v>
      </c>
      <c r="S40" s="10" t="s">
        <v>24</v>
      </c>
    </row>
    <row r="41" spans="1:19" x14ac:dyDescent="0.25">
      <c r="A41" s="10" t="s">
        <v>1964</v>
      </c>
      <c r="B41" s="10" t="s">
        <v>1965</v>
      </c>
      <c r="C41" s="10" t="s">
        <v>1943</v>
      </c>
      <c r="D41" s="11">
        <v>45593</v>
      </c>
      <c r="E41" s="12">
        <v>900000</v>
      </c>
      <c r="F41" s="10" t="s">
        <v>22</v>
      </c>
      <c r="G41" s="10" t="s">
        <v>23</v>
      </c>
      <c r="H41" s="12">
        <v>900000</v>
      </c>
      <c r="I41" s="12">
        <v>573600</v>
      </c>
      <c r="J41" s="13">
        <f t="shared" si="10"/>
        <v>63.733333333333334</v>
      </c>
      <c r="K41" s="12">
        <v>1147199</v>
      </c>
      <c r="L41" s="12">
        <f>H41-718357</f>
        <v>181643</v>
      </c>
      <c r="M41" s="12">
        <v>428842</v>
      </c>
      <c r="N41" s="12">
        <f t="shared" si="11"/>
        <v>180000</v>
      </c>
      <c r="O41" s="14">
        <v>0.48199999999999998</v>
      </c>
      <c r="P41" s="12">
        <f t="shared" si="12"/>
        <v>376852.69709543569</v>
      </c>
      <c r="Q41" s="15">
        <f t="shared" si="13"/>
        <v>8.651347499895218</v>
      </c>
      <c r="R41" s="15">
        <f t="shared" si="14"/>
        <v>20.425015907852575</v>
      </c>
      <c r="S41" s="10" t="s">
        <v>24</v>
      </c>
    </row>
    <row r="42" spans="1:19" x14ac:dyDescent="0.25">
      <c r="A42" s="10" t="s">
        <v>1966</v>
      </c>
      <c r="B42" s="10" t="s">
        <v>1967</v>
      </c>
      <c r="C42" s="10" t="s">
        <v>1943</v>
      </c>
      <c r="D42" s="11">
        <v>45189</v>
      </c>
      <c r="E42" s="12">
        <v>870000</v>
      </c>
      <c r="F42" s="10" t="s">
        <v>29</v>
      </c>
      <c r="G42" s="10" t="s">
        <v>23</v>
      </c>
      <c r="H42" s="12">
        <v>870000</v>
      </c>
      <c r="I42" s="12">
        <v>430700</v>
      </c>
      <c r="J42" s="13">
        <f t="shared" si="10"/>
        <v>49.505747126436781</v>
      </c>
      <c r="K42" s="12">
        <v>861391</v>
      </c>
      <c r="L42" s="12">
        <f>H42-437138</f>
        <v>432862</v>
      </c>
      <c r="M42" s="12">
        <v>424253</v>
      </c>
      <c r="N42" s="12">
        <f t="shared" si="11"/>
        <v>174000</v>
      </c>
      <c r="O42" s="14">
        <v>0.45300000000000001</v>
      </c>
      <c r="P42" s="12">
        <f t="shared" si="12"/>
        <v>955545.25386313465</v>
      </c>
      <c r="Q42" s="15">
        <f t="shared" si="13"/>
        <v>21.936300593735872</v>
      </c>
      <c r="R42" s="15">
        <f t="shared" si="14"/>
        <v>21.500019257394332</v>
      </c>
      <c r="S42" s="10" t="s">
        <v>24</v>
      </c>
    </row>
    <row r="43" spans="1:19" x14ac:dyDescent="0.25">
      <c r="A43" s="10" t="s">
        <v>1968</v>
      </c>
      <c r="B43" s="10" t="s">
        <v>1969</v>
      </c>
      <c r="C43" s="10" t="s">
        <v>1943</v>
      </c>
      <c r="D43" s="11">
        <v>45467</v>
      </c>
      <c r="E43" s="12">
        <v>865000</v>
      </c>
      <c r="F43" s="10" t="s">
        <v>29</v>
      </c>
      <c r="G43" s="10" t="s">
        <v>23</v>
      </c>
      <c r="H43" s="12">
        <v>865000</v>
      </c>
      <c r="I43" s="12">
        <v>411190</v>
      </c>
      <c r="J43" s="13">
        <f t="shared" si="10"/>
        <v>47.536416184971095</v>
      </c>
      <c r="K43" s="12">
        <v>822384</v>
      </c>
      <c r="L43" s="12">
        <f>H43-548914</f>
        <v>316086</v>
      </c>
      <c r="M43" s="12">
        <v>273470</v>
      </c>
      <c r="N43" s="12">
        <f t="shared" si="11"/>
        <v>173000</v>
      </c>
      <c r="O43" s="14">
        <v>0.29199999999999998</v>
      </c>
      <c r="P43" s="12">
        <f t="shared" si="12"/>
        <v>1082486.3013698631</v>
      </c>
      <c r="Q43" s="15">
        <f t="shared" si="13"/>
        <v>24.850466055322844</v>
      </c>
      <c r="R43" s="15">
        <f t="shared" si="14"/>
        <v>21.500025158182073</v>
      </c>
      <c r="S43" s="10" t="s">
        <v>24</v>
      </c>
    </row>
    <row r="44" spans="1:19" x14ac:dyDescent="0.25">
      <c r="A44" s="10" t="s">
        <v>1970</v>
      </c>
      <c r="B44" s="10" t="s">
        <v>1971</v>
      </c>
      <c r="C44" s="10" t="s">
        <v>1943</v>
      </c>
      <c r="D44" s="11">
        <v>45028</v>
      </c>
      <c r="E44" s="12">
        <v>875000</v>
      </c>
      <c r="F44" s="10" t="s">
        <v>22</v>
      </c>
      <c r="G44" s="10" t="s">
        <v>23</v>
      </c>
      <c r="H44" s="12">
        <v>875000</v>
      </c>
      <c r="I44" s="12">
        <v>456860</v>
      </c>
      <c r="J44" s="13">
        <f t="shared" si="10"/>
        <v>52.21257142857143</v>
      </c>
      <c r="K44" s="12">
        <v>913724</v>
      </c>
      <c r="L44" s="12">
        <f>H44-584998</f>
        <v>290002</v>
      </c>
      <c r="M44" s="12">
        <v>328726</v>
      </c>
      <c r="N44" s="12">
        <f t="shared" si="11"/>
        <v>175000</v>
      </c>
      <c r="O44" s="14">
        <v>0.35099999999999998</v>
      </c>
      <c r="P44" s="12">
        <f t="shared" si="12"/>
        <v>826216.52421652421</v>
      </c>
      <c r="Q44" s="15">
        <f t="shared" si="13"/>
        <v>18.967321492574019</v>
      </c>
      <c r="R44" s="15">
        <f t="shared" si="14"/>
        <v>21.500030085888671</v>
      </c>
      <c r="S44" s="10" t="s">
        <v>24</v>
      </c>
    </row>
    <row r="45" spans="1:19" x14ac:dyDescent="0.25">
      <c r="A45" s="10" t="s">
        <v>1972</v>
      </c>
      <c r="B45" s="10" t="s">
        <v>1973</v>
      </c>
      <c r="C45" s="10" t="s">
        <v>1943</v>
      </c>
      <c r="D45" s="11">
        <v>45498</v>
      </c>
      <c r="E45" s="12">
        <v>951500</v>
      </c>
      <c r="F45" s="10" t="s">
        <v>29</v>
      </c>
      <c r="G45" s="10" t="s">
        <v>23</v>
      </c>
      <c r="H45" s="12">
        <v>951500</v>
      </c>
      <c r="I45" s="12">
        <v>339660</v>
      </c>
      <c r="J45" s="13">
        <f t="shared" si="10"/>
        <v>35.697320021019443</v>
      </c>
      <c r="K45" s="12">
        <v>679329</v>
      </c>
      <c r="L45" s="12">
        <f>H45-432082</f>
        <v>519418</v>
      </c>
      <c r="M45" s="12">
        <v>247247</v>
      </c>
      <c r="N45" s="12">
        <f t="shared" si="11"/>
        <v>190300</v>
      </c>
      <c r="O45" s="14">
        <v>0.26400000000000001</v>
      </c>
      <c r="P45" s="12">
        <f t="shared" si="12"/>
        <v>1967492.4242424241</v>
      </c>
      <c r="Q45" s="15">
        <f t="shared" si="13"/>
        <v>45.167411024849038</v>
      </c>
      <c r="R45" s="15">
        <f t="shared" si="14"/>
        <v>21.500038261401897</v>
      </c>
      <c r="S45" s="10" t="s">
        <v>24</v>
      </c>
    </row>
    <row r="46" spans="1:19" x14ac:dyDescent="0.25">
      <c r="A46" s="10" t="s">
        <v>1974</v>
      </c>
      <c r="B46" s="10" t="s">
        <v>1975</v>
      </c>
      <c r="C46" s="10" t="s">
        <v>1943</v>
      </c>
      <c r="D46" s="11">
        <v>45154</v>
      </c>
      <c r="E46" s="12">
        <v>795000</v>
      </c>
      <c r="F46" s="10" t="s">
        <v>22</v>
      </c>
      <c r="G46" s="10" t="s">
        <v>23</v>
      </c>
      <c r="H46" s="12">
        <v>795000</v>
      </c>
      <c r="I46" s="12">
        <v>342160</v>
      </c>
      <c r="J46" s="13">
        <f t="shared" si="10"/>
        <v>43.038993710691827</v>
      </c>
      <c r="K46" s="12">
        <v>684320</v>
      </c>
      <c r="L46" s="12">
        <f>H46-382754</f>
        <v>412246</v>
      </c>
      <c r="M46" s="12">
        <v>301566</v>
      </c>
      <c r="N46" s="12">
        <f t="shared" si="11"/>
        <v>159000</v>
      </c>
      <c r="O46" s="14">
        <v>0.46</v>
      </c>
      <c r="P46" s="12">
        <f t="shared" si="12"/>
        <v>896186.95652173914</v>
      </c>
      <c r="Q46" s="15">
        <f t="shared" si="13"/>
        <v>20.573621591408152</v>
      </c>
      <c r="R46" s="15">
        <f t="shared" si="14"/>
        <v>15.050005988741166</v>
      </c>
      <c r="S46" s="10" t="s">
        <v>24</v>
      </c>
    </row>
    <row r="47" spans="1:19" x14ac:dyDescent="0.25">
      <c r="A47" s="10" t="s">
        <v>1976</v>
      </c>
      <c r="B47" s="10" t="s">
        <v>1977</v>
      </c>
      <c r="C47" s="10" t="s">
        <v>1943</v>
      </c>
      <c r="D47" s="11">
        <v>45384</v>
      </c>
      <c r="E47" s="12">
        <v>2595000</v>
      </c>
      <c r="F47" s="10" t="s">
        <v>29</v>
      </c>
      <c r="G47" s="10" t="s">
        <v>23</v>
      </c>
      <c r="H47" s="12">
        <v>2595000</v>
      </c>
      <c r="I47" s="12">
        <v>1108090</v>
      </c>
      <c r="J47" s="13">
        <f t="shared" si="10"/>
        <v>42.700963391136803</v>
      </c>
      <c r="K47" s="12">
        <v>2216171</v>
      </c>
      <c r="L47" s="12">
        <f>H47-1789536</f>
        <v>805464</v>
      </c>
      <c r="M47" s="12">
        <v>426635</v>
      </c>
      <c r="N47" s="12">
        <f t="shared" si="11"/>
        <v>519000</v>
      </c>
      <c r="O47" s="14">
        <v>0.45600000000000002</v>
      </c>
      <c r="P47" s="12">
        <f t="shared" si="12"/>
        <v>1766368.4210526315</v>
      </c>
      <c r="Q47" s="15">
        <f t="shared" si="13"/>
        <v>40.550239234449755</v>
      </c>
      <c r="R47" s="15">
        <f t="shared" si="14"/>
        <v>21.478491050859471</v>
      </c>
      <c r="S47" s="10" t="s">
        <v>24</v>
      </c>
    </row>
    <row r="48" spans="1:19" x14ac:dyDescent="0.25">
      <c r="A48" s="10" t="s">
        <v>1978</v>
      </c>
      <c r="B48" s="10" t="s">
        <v>1979</v>
      </c>
      <c r="C48" s="10" t="s">
        <v>1943</v>
      </c>
      <c r="D48" s="11">
        <v>45204</v>
      </c>
      <c r="E48" s="12">
        <v>770000</v>
      </c>
      <c r="F48" s="10" t="s">
        <v>22</v>
      </c>
      <c r="G48" s="10" t="s">
        <v>23</v>
      </c>
      <c r="H48" s="12">
        <v>770000</v>
      </c>
      <c r="I48" s="12">
        <v>367160</v>
      </c>
      <c r="J48" s="13">
        <f t="shared" si="10"/>
        <v>47.683116883116881</v>
      </c>
      <c r="K48" s="12">
        <v>734318</v>
      </c>
      <c r="L48" s="12">
        <f>H48-547947</f>
        <v>222053</v>
      </c>
      <c r="M48" s="12">
        <v>186371</v>
      </c>
      <c r="N48" s="12">
        <f t="shared" si="11"/>
        <v>154000</v>
      </c>
      <c r="O48" s="14">
        <v>0.19900000000000001</v>
      </c>
      <c r="P48" s="12">
        <f t="shared" si="12"/>
        <v>1115844.2211055276</v>
      </c>
      <c r="Q48" s="15">
        <f t="shared" si="13"/>
        <v>25.616258519410643</v>
      </c>
      <c r="R48" s="15">
        <f t="shared" si="14"/>
        <v>21.499946933935057</v>
      </c>
      <c r="S48" s="10" t="s">
        <v>24</v>
      </c>
    </row>
    <row r="49" spans="1:19" x14ac:dyDescent="0.25">
      <c r="A49" s="10" t="s">
        <v>1980</v>
      </c>
      <c r="B49" s="10" t="s">
        <v>1981</v>
      </c>
      <c r="C49" s="10" t="s">
        <v>1943</v>
      </c>
      <c r="D49" s="11">
        <v>45141</v>
      </c>
      <c r="E49" s="12">
        <v>600000</v>
      </c>
      <c r="F49" s="10" t="s">
        <v>22</v>
      </c>
      <c r="G49" s="10" t="s">
        <v>23</v>
      </c>
      <c r="H49" s="12">
        <v>600000</v>
      </c>
      <c r="I49" s="12">
        <v>389240</v>
      </c>
      <c r="J49" s="13">
        <f t="shared" si="10"/>
        <v>64.873333333333335</v>
      </c>
      <c r="K49" s="12">
        <v>778474</v>
      </c>
      <c r="L49" s="12">
        <f>H49-565879</f>
        <v>34121</v>
      </c>
      <c r="M49" s="12">
        <v>212595</v>
      </c>
      <c r="N49" s="12">
        <f t="shared" si="11"/>
        <v>120000</v>
      </c>
      <c r="O49" s="14">
        <v>0.22700000000000001</v>
      </c>
      <c r="P49" s="12">
        <f t="shared" si="12"/>
        <v>150312.77533039646</v>
      </c>
      <c r="Q49" s="15">
        <f t="shared" si="13"/>
        <v>3.4507065043709013</v>
      </c>
      <c r="R49" s="15">
        <f t="shared" si="14"/>
        <v>21.50004247521268</v>
      </c>
      <c r="S49" s="10" t="s">
        <v>24</v>
      </c>
    </row>
    <row r="50" spans="1:19" x14ac:dyDescent="0.25">
      <c r="A50" s="10" t="s">
        <v>1982</v>
      </c>
      <c r="B50" s="10" t="s">
        <v>1983</v>
      </c>
      <c r="C50" s="10" t="s">
        <v>1943</v>
      </c>
      <c r="D50" s="11">
        <v>45715</v>
      </c>
      <c r="E50" s="12">
        <v>1125000</v>
      </c>
      <c r="F50" s="10" t="s">
        <v>29</v>
      </c>
      <c r="G50" s="10" t="s">
        <v>23</v>
      </c>
      <c r="H50" s="12">
        <v>1125000</v>
      </c>
      <c r="I50" s="12">
        <v>516970</v>
      </c>
      <c r="J50" s="13">
        <f t="shared" si="10"/>
        <v>45.952888888888886</v>
      </c>
      <c r="K50" s="12">
        <v>1033947</v>
      </c>
      <c r="L50" s="12">
        <f>H50-773589</f>
        <v>351411</v>
      </c>
      <c r="M50" s="12">
        <v>260358</v>
      </c>
      <c r="N50" s="12">
        <f t="shared" si="11"/>
        <v>225000</v>
      </c>
      <c r="O50" s="14">
        <v>0.27800000000000002</v>
      </c>
      <c r="P50" s="12">
        <f t="shared" si="12"/>
        <v>1264068.345323741</v>
      </c>
      <c r="Q50" s="15">
        <f t="shared" si="13"/>
        <v>29.019016192005072</v>
      </c>
      <c r="R50" s="15">
        <f t="shared" si="14"/>
        <v>21.499990090572169</v>
      </c>
      <c r="S50" s="10" t="s">
        <v>24</v>
      </c>
    </row>
    <row r="51" spans="1:19" x14ac:dyDescent="0.25">
      <c r="A51" s="10" t="s">
        <v>1984</v>
      </c>
      <c r="B51" s="10" t="s">
        <v>1985</v>
      </c>
      <c r="C51" s="10" t="s">
        <v>1943</v>
      </c>
      <c r="D51" s="11">
        <v>45397</v>
      </c>
      <c r="E51" s="12">
        <v>1575000</v>
      </c>
      <c r="F51" s="10" t="s">
        <v>29</v>
      </c>
      <c r="G51" s="10" t="s">
        <v>23</v>
      </c>
      <c r="H51" s="12">
        <v>1575000</v>
      </c>
      <c r="I51" s="12">
        <v>780380</v>
      </c>
      <c r="J51" s="13">
        <f t="shared" si="10"/>
        <v>49.547936507936505</v>
      </c>
      <c r="K51" s="12">
        <v>1560753</v>
      </c>
      <c r="L51" s="12">
        <f>H51-1299458</f>
        <v>275542</v>
      </c>
      <c r="M51" s="12">
        <v>261295</v>
      </c>
      <c r="N51" s="12">
        <f t="shared" si="11"/>
        <v>315000</v>
      </c>
      <c r="O51" s="14">
        <v>0.27900000000000003</v>
      </c>
      <c r="P51" s="12">
        <f t="shared" si="12"/>
        <v>987605.73476702499</v>
      </c>
      <c r="Q51" s="15">
        <f t="shared" si="13"/>
        <v>22.672307960675504</v>
      </c>
      <c r="R51" s="15">
        <f t="shared" si="14"/>
        <v>21.500027976078805</v>
      </c>
      <c r="S51" s="10" t="s">
        <v>24</v>
      </c>
    </row>
    <row r="52" spans="1:19" x14ac:dyDescent="0.25">
      <c r="A52" s="10" t="s">
        <v>1986</v>
      </c>
      <c r="B52" s="10" t="s">
        <v>1987</v>
      </c>
      <c r="C52" s="10" t="s">
        <v>1943</v>
      </c>
      <c r="D52" s="11">
        <v>45734</v>
      </c>
      <c r="E52" s="12">
        <v>2200000</v>
      </c>
      <c r="F52" s="10" t="s">
        <v>22</v>
      </c>
      <c r="G52" s="10" t="s">
        <v>23</v>
      </c>
      <c r="H52" s="12">
        <v>2200000</v>
      </c>
      <c r="I52" s="12">
        <v>674080</v>
      </c>
      <c r="J52" s="13">
        <f t="shared" si="10"/>
        <v>30.64</v>
      </c>
      <c r="K52" s="12">
        <v>1348162</v>
      </c>
      <c r="L52" s="12">
        <f>H52-966990</f>
        <v>1233010</v>
      </c>
      <c r="M52" s="12">
        <v>381172</v>
      </c>
      <c r="N52" s="12">
        <f t="shared" si="11"/>
        <v>440000</v>
      </c>
      <c r="O52" s="14">
        <v>0.40699999999999997</v>
      </c>
      <c r="P52" s="12">
        <f t="shared" si="12"/>
        <v>3029508.5995085998</v>
      </c>
      <c r="Q52" s="15">
        <f t="shared" si="13"/>
        <v>69.547947647121205</v>
      </c>
      <c r="R52" s="15">
        <f t="shared" si="14"/>
        <v>21.50001240910332</v>
      </c>
      <c r="S52" s="10" t="s">
        <v>24</v>
      </c>
    </row>
    <row r="53" spans="1:19" x14ac:dyDescent="0.25">
      <c r="A53" s="10" t="s">
        <v>1988</v>
      </c>
      <c r="B53" s="10" t="s">
        <v>1989</v>
      </c>
      <c r="C53" s="10" t="s">
        <v>1943</v>
      </c>
      <c r="D53" s="11">
        <v>45362</v>
      </c>
      <c r="E53" s="12">
        <v>850000</v>
      </c>
      <c r="F53" s="10" t="s">
        <v>29</v>
      </c>
      <c r="G53" s="10" t="s">
        <v>23</v>
      </c>
      <c r="H53" s="12">
        <v>850000</v>
      </c>
      <c r="I53" s="12">
        <v>446080</v>
      </c>
      <c r="J53" s="13">
        <f t="shared" si="10"/>
        <v>52.480000000000004</v>
      </c>
      <c r="K53" s="12">
        <v>892150</v>
      </c>
      <c r="L53" s="12">
        <f>H53-573726</f>
        <v>276274</v>
      </c>
      <c r="M53" s="12">
        <v>318424</v>
      </c>
      <c r="N53" s="12">
        <f t="shared" si="11"/>
        <v>170000</v>
      </c>
      <c r="O53" s="14">
        <v>0.34</v>
      </c>
      <c r="P53" s="12">
        <f t="shared" si="12"/>
        <v>812570.5882352941</v>
      </c>
      <c r="Q53" s="15">
        <f t="shared" si="13"/>
        <v>18.654053908064604</v>
      </c>
      <c r="R53" s="15">
        <f t="shared" si="14"/>
        <v>21.500027008048399</v>
      </c>
      <c r="S53" s="10" t="s">
        <v>24</v>
      </c>
    </row>
    <row r="54" spans="1:19" x14ac:dyDescent="0.25">
      <c r="A54" s="10" t="s">
        <v>1990</v>
      </c>
      <c r="B54" s="10" t="s">
        <v>1991</v>
      </c>
      <c r="C54" s="10" t="s">
        <v>1943</v>
      </c>
      <c r="D54" s="11">
        <v>45449</v>
      </c>
      <c r="E54" s="12">
        <v>6500000</v>
      </c>
      <c r="F54" s="10" t="s">
        <v>1379</v>
      </c>
      <c r="G54" s="10" t="s">
        <v>23</v>
      </c>
      <c r="H54" s="12">
        <v>6500000</v>
      </c>
      <c r="I54" s="12">
        <v>2791800</v>
      </c>
      <c r="J54" s="13">
        <f t="shared" si="10"/>
        <v>42.950769230769232</v>
      </c>
      <c r="K54" s="12">
        <v>5583597</v>
      </c>
      <c r="L54" s="12">
        <f>H54-4553839</f>
        <v>1946161</v>
      </c>
      <c r="M54" s="12">
        <v>1029758</v>
      </c>
      <c r="N54" s="12">
        <f t="shared" si="11"/>
        <v>1300000</v>
      </c>
      <c r="O54" s="14">
        <v>1.62</v>
      </c>
      <c r="P54" s="12">
        <f t="shared" si="12"/>
        <v>1201333.9506172838</v>
      </c>
      <c r="Q54" s="15">
        <f t="shared" si="13"/>
        <v>27.578832658798987</v>
      </c>
      <c r="R54" s="15">
        <f t="shared" si="14"/>
        <v>14.592586924236755</v>
      </c>
      <c r="S54" s="10" t="s">
        <v>24</v>
      </c>
    </row>
    <row r="55" spans="1:19" x14ac:dyDescent="0.25">
      <c r="A55" s="10" t="s">
        <v>1992</v>
      </c>
      <c r="B55" s="10" t="s">
        <v>1993</v>
      </c>
      <c r="C55" s="10" t="s">
        <v>1943</v>
      </c>
      <c r="D55" s="11">
        <v>45377</v>
      </c>
      <c r="E55" s="12">
        <v>2190000</v>
      </c>
      <c r="F55" s="10" t="s">
        <v>29</v>
      </c>
      <c r="G55" s="10" t="s">
        <v>23</v>
      </c>
      <c r="H55" s="12">
        <v>2190000</v>
      </c>
      <c r="I55" s="12">
        <v>1163480</v>
      </c>
      <c r="J55" s="13">
        <f t="shared" si="10"/>
        <v>53.126940639269407</v>
      </c>
      <c r="K55" s="12">
        <v>2326962</v>
      </c>
      <c r="L55" s="12">
        <f>H55-1389072</f>
        <v>800928</v>
      </c>
      <c r="M55" s="12">
        <v>937890</v>
      </c>
      <c r="N55" s="12">
        <f t="shared" si="11"/>
        <v>438000</v>
      </c>
      <c r="O55" s="14">
        <v>1.3979999999999999</v>
      </c>
      <c r="P55" s="12">
        <f t="shared" si="12"/>
        <v>572909.8712446352</v>
      </c>
      <c r="Q55" s="15">
        <f t="shared" si="13"/>
        <v>13.152200900932856</v>
      </c>
      <c r="R55" s="15">
        <f t="shared" si="14"/>
        <v>15.40128164201516</v>
      </c>
      <c r="S55" s="10" t="s">
        <v>24</v>
      </c>
    </row>
    <row r="56" spans="1:19" x14ac:dyDescent="0.25">
      <c r="A56" s="10" t="s">
        <v>1994</v>
      </c>
      <c r="B56" s="10" t="s">
        <v>1995</v>
      </c>
      <c r="C56" s="10" t="s">
        <v>1943</v>
      </c>
      <c r="D56" s="11">
        <v>45044</v>
      </c>
      <c r="E56" s="12">
        <v>2150000</v>
      </c>
      <c r="F56" s="10" t="s">
        <v>22</v>
      </c>
      <c r="G56" s="10" t="s">
        <v>23</v>
      </c>
      <c r="H56" s="12">
        <v>2150000</v>
      </c>
      <c r="I56" s="12">
        <v>821710</v>
      </c>
      <c r="J56" s="13">
        <f t="shared" si="10"/>
        <v>38.219069767441859</v>
      </c>
      <c r="K56" s="12">
        <v>1643422</v>
      </c>
      <c r="L56" s="12">
        <f>H56-1024522</f>
        <v>1125478</v>
      </c>
      <c r="M56" s="12">
        <v>618900</v>
      </c>
      <c r="N56" s="12">
        <f t="shared" si="11"/>
        <v>430000</v>
      </c>
      <c r="O56" s="14">
        <v>0.747</v>
      </c>
      <c r="P56" s="12">
        <f t="shared" si="12"/>
        <v>1506663.9892904954</v>
      </c>
      <c r="Q56" s="15">
        <f t="shared" si="13"/>
        <v>34.588245851480607</v>
      </c>
      <c r="R56" s="15">
        <f t="shared" si="14"/>
        <v>19.020065569901277</v>
      </c>
      <c r="S56" s="10" t="s">
        <v>24</v>
      </c>
    </row>
    <row r="57" spans="1:19" x14ac:dyDescent="0.25">
      <c r="A57" s="10" t="s">
        <v>1996</v>
      </c>
      <c r="B57" s="10" t="s">
        <v>1997</v>
      </c>
      <c r="C57" s="10" t="s">
        <v>1943</v>
      </c>
      <c r="D57" s="11">
        <v>45033</v>
      </c>
      <c r="E57" s="12">
        <v>1200000</v>
      </c>
      <c r="F57" s="10" t="s">
        <v>22</v>
      </c>
      <c r="G57" s="10" t="s">
        <v>23</v>
      </c>
      <c r="H57" s="12">
        <v>1200000</v>
      </c>
      <c r="I57" s="12">
        <v>674630</v>
      </c>
      <c r="J57" s="13">
        <f t="shared" si="10"/>
        <v>56.219166666666666</v>
      </c>
      <c r="K57" s="12">
        <v>1349258</v>
      </c>
      <c r="L57" s="12">
        <f>H57-896909</f>
        <v>303091</v>
      </c>
      <c r="M57" s="12">
        <v>452349</v>
      </c>
      <c r="N57" s="12">
        <f t="shared" si="11"/>
        <v>240000</v>
      </c>
      <c r="O57" s="14">
        <v>0.48299999999999998</v>
      </c>
      <c r="P57" s="12">
        <f t="shared" si="12"/>
        <v>627517.59834368527</v>
      </c>
      <c r="Q57" s="15">
        <f t="shared" si="13"/>
        <v>14.405821816889009</v>
      </c>
      <c r="R57" s="15">
        <f t="shared" si="14"/>
        <v>21.500008555344525</v>
      </c>
      <c r="S57" s="10" t="s">
        <v>24</v>
      </c>
    </row>
    <row r="58" spans="1:19" x14ac:dyDescent="0.25">
      <c r="A58" s="10" t="s">
        <v>1998</v>
      </c>
      <c r="B58" s="10" t="s">
        <v>1999</v>
      </c>
      <c r="C58" s="10" t="s">
        <v>1943</v>
      </c>
      <c r="D58" s="11">
        <v>45443</v>
      </c>
      <c r="E58" s="12">
        <v>1640300</v>
      </c>
      <c r="F58" s="10" t="s">
        <v>29</v>
      </c>
      <c r="G58" s="10" t="s">
        <v>23</v>
      </c>
      <c r="H58" s="12">
        <v>1640300</v>
      </c>
      <c r="I58" s="12">
        <v>607630</v>
      </c>
      <c r="J58" s="13">
        <f t="shared" si="10"/>
        <v>37.043833445101505</v>
      </c>
      <c r="K58" s="12">
        <v>1215255</v>
      </c>
      <c r="L58" s="12">
        <f>H58-778827</f>
        <v>861473</v>
      </c>
      <c r="M58" s="12">
        <v>436428</v>
      </c>
      <c r="N58" s="12">
        <f t="shared" si="11"/>
        <v>328060</v>
      </c>
      <c r="O58" s="14">
        <v>0.46600000000000003</v>
      </c>
      <c r="P58" s="12">
        <f t="shared" si="12"/>
        <v>1848654.5064377682</v>
      </c>
      <c r="Q58" s="15">
        <f t="shared" si="13"/>
        <v>42.439267824558499</v>
      </c>
      <c r="R58" s="15">
        <f t="shared" si="14"/>
        <v>21.500017734898734</v>
      </c>
      <c r="S58" s="10" t="s">
        <v>24</v>
      </c>
    </row>
    <row r="59" spans="1:19" x14ac:dyDescent="0.25">
      <c r="A59" s="10" t="s">
        <v>2000</v>
      </c>
      <c r="B59" s="10" t="s">
        <v>2001</v>
      </c>
      <c r="C59" s="10" t="s">
        <v>1943</v>
      </c>
      <c r="D59" s="11">
        <v>45181</v>
      </c>
      <c r="E59" s="12">
        <v>1070000</v>
      </c>
      <c r="F59" s="10" t="s">
        <v>22</v>
      </c>
      <c r="G59" s="10" t="s">
        <v>23</v>
      </c>
      <c r="H59" s="12">
        <v>1070000</v>
      </c>
      <c r="I59" s="12">
        <v>645320</v>
      </c>
      <c r="J59" s="13">
        <f t="shared" si="10"/>
        <v>60.310280373831773</v>
      </c>
      <c r="K59" s="12">
        <v>1290649</v>
      </c>
      <c r="L59" s="12">
        <f>H59-857031</f>
        <v>212969</v>
      </c>
      <c r="M59" s="12">
        <v>433618</v>
      </c>
      <c r="N59" s="12">
        <f t="shared" si="11"/>
        <v>214000</v>
      </c>
      <c r="O59" s="14">
        <v>0.46300000000000002</v>
      </c>
      <c r="P59" s="12">
        <f t="shared" si="12"/>
        <v>459976.24190064793</v>
      </c>
      <c r="Q59" s="15">
        <f t="shared" si="13"/>
        <v>10.559601512870705</v>
      </c>
      <c r="R59" s="15">
        <f t="shared" si="14"/>
        <v>21.499999008343796</v>
      </c>
      <c r="S59" s="10" t="s">
        <v>24</v>
      </c>
    </row>
    <row r="60" spans="1:19" x14ac:dyDescent="0.25">
      <c r="A60" s="10" t="s">
        <v>2002</v>
      </c>
      <c r="B60" s="10" t="s">
        <v>2003</v>
      </c>
      <c r="C60" s="10" t="s">
        <v>1943</v>
      </c>
      <c r="D60" s="11">
        <v>45457</v>
      </c>
      <c r="E60" s="12">
        <v>1667500</v>
      </c>
      <c r="F60" s="10" t="s">
        <v>29</v>
      </c>
      <c r="G60" s="10" t="s">
        <v>23</v>
      </c>
      <c r="H60" s="12">
        <v>1667500</v>
      </c>
      <c r="I60" s="12">
        <v>614510</v>
      </c>
      <c r="J60" s="13">
        <f t="shared" si="10"/>
        <v>36.85217391304348</v>
      </c>
      <c r="K60" s="12">
        <v>1229020</v>
      </c>
      <c r="L60" s="12">
        <f>H60-847848</f>
        <v>819652</v>
      </c>
      <c r="M60" s="12">
        <v>381172</v>
      </c>
      <c r="N60" s="12">
        <f t="shared" si="11"/>
        <v>333500</v>
      </c>
      <c r="O60" s="14">
        <v>0.40699999999999997</v>
      </c>
      <c r="P60" s="12">
        <f t="shared" si="12"/>
        <v>2013886.9778869781</v>
      </c>
      <c r="Q60" s="15">
        <f t="shared" si="13"/>
        <v>46.232483422566069</v>
      </c>
      <c r="R60" s="15">
        <f t="shared" si="14"/>
        <v>21.50001240910332</v>
      </c>
      <c r="S60" s="10" t="s">
        <v>24</v>
      </c>
    </row>
    <row r="61" spans="1:19" x14ac:dyDescent="0.25">
      <c r="A61" s="10" t="s">
        <v>2004</v>
      </c>
      <c r="B61" s="10" t="s">
        <v>2005</v>
      </c>
      <c r="C61" s="10" t="s">
        <v>1943</v>
      </c>
      <c r="D61" s="11">
        <v>45590</v>
      </c>
      <c r="E61" s="12">
        <v>1000000</v>
      </c>
      <c r="F61" s="10" t="s">
        <v>22</v>
      </c>
      <c r="G61" s="10" t="s">
        <v>23</v>
      </c>
      <c r="H61" s="12">
        <v>1000000</v>
      </c>
      <c r="I61" s="12">
        <v>616620</v>
      </c>
      <c r="J61" s="13">
        <f t="shared" si="10"/>
        <v>61.661999999999992</v>
      </c>
      <c r="K61" s="12">
        <v>1233238</v>
      </c>
      <c r="L61" s="12">
        <f>H61-814605</f>
        <v>185395</v>
      </c>
      <c r="M61" s="12">
        <v>418633</v>
      </c>
      <c r="N61" s="12">
        <f t="shared" si="11"/>
        <v>200000</v>
      </c>
      <c r="O61" s="14">
        <v>0.44700000000000001</v>
      </c>
      <c r="P61" s="12">
        <f t="shared" si="12"/>
        <v>414753.91498881433</v>
      </c>
      <c r="Q61" s="15">
        <f t="shared" si="13"/>
        <v>9.5214397380352231</v>
      </c>
      <c r="R61" s="15">
        <f t="shared" si="14"/>
        <v>21.499980484117152</v>
      </c>
      <c r="S61" s="10" t="s">
        <v>24</v>
      </c>
    </row>
    <row r="62" spans="1:19" x14ac:dyDescent="0.25">
      <c r="A62" s="10" t="s">
        <v>2006</v>
      </c>
      <c r="B62" s="10" t="s">
        <v>2007</v>
      </c>
      <c r="C62" s="10" t="s">
        <v>1943</v>
      </c>
      <c r="D62" s="11">
        <v>45436</v>
      </c>
      <c r="E62" s="12">
        <v>2350000</v>
      </c>
      <c r="F62" s="10" t="s">
        <v>22</v>
      </c>
      <c r="G62" s="10" t="s">
        <v>23</v>
      </c>
      <c r="H62" s="12">
        <v>2350000</v>
      </c>
      <c r="I62" s="12">
        <v>1375390</v>
      </c>
      <c r="J62" s="13">
        <f t="shared" ref="J62:J93" si="15">I62/H62*100</f>
        <v>58.527234042553189</v>
      </c>
      <c r="K62" s="12">
        <v>2750782</v>
      </c>
      <c r="L62" s="12">
        <f>H62-2130242</f>
        <v>219758</v>
      </c>
      <c r="M62" s="12">
        <v>620540</v>
      </c>
      <c r="N62" s="12">
        <f t="shared" ref="N62:N93" si="16">E62*0.2</f>
        <v>470000</v>
      </c>
      <c r="O62" s="14">
        <v>0.75</v>
      </c>
      <c r="P62" s="12">
        <f t="shared" ref="P62:P93" si="17">L62/O62</f>
        <v>293010.66666666669</v>
      </c>
      <c r="Q62" s="15">
        <f t="shared" ref="Q62:Q93" si="18">L62/O62/43560</f>
        <v>6.7265993265993274</v>
      </c>
      <c r="R62" s="15">
        <f t="shared" ref="R62:R93" si="19">M62/O62/43560</f>
        <v>18.994184266911539</v>
      </c>
      <c r="S62" s="10" t="s">
        <v>24</v>
      </c>
    </row>
    <row r="63" spans="1:19" x14ac:dyDescent="0.25">
      <c r="A63" s="10" t="s">
        <v>2008</v>
      </c>
      <c r="B63" s="10" t="s">
        <v>2009</v>
      </c>
      <c r="C63" s="10" t="s">
        <v>1943</v>
      </c>
      <c r="D63" s="11">
        <v>45456</v>
      </c>
      <c r="E63" s="12">
        <v>3250000</v>
      </c>
      <c r="F63" s="10" t="s">
        <v>29</v>
      </c>
      <c r="G63" s="10" t="s">
        <v>23</v>
      </c>
      <c r="H63" s="12">
        <v>3250000</v>
      </c>
      <c r="I63" s="12">
        <v>1338600</v>
      </c>
      <c r="J63" s="13">
        <f t="shared" si="15"/>
        <v>41.187692307692309</v>
      </c>
      <c r="K63" s="12">
        <v>2677201</v>
      </c>
      <c r="L63" s="12">
        <f>H63-2081714</f>
        <v>1168286</v>
      </c>
      <c r="M63" s="12">
        <v>595487</v>
      </c>
      <c r="N63" s="12">
        <f t="shared" si="16"/>
        <v>650000</v>
      </c>
      <c r="O63" s="14">
        <v>0.76</v>
      </c>
      <c r="P63" s="12">
        <f t="shared" si="17"/>
        <v>1537218.4210526315</v>
      </c>
      <c r="Q63" s="15">
        <f t="shared" si="18"/>
        <v>35.289679087525975</v>
      </c>
      <c r="R63" s="15">
        <f t="shared" si="19"/>
        <v>17.987500604127398</v>
      </c>
      <c r="S63" s="10" t="s">
        <v>24</v>
      </c>
    </row>
    <row r="64" spans="1:19" x14ac:dyDescent="0.25">
      <c r="A64" s="10" t="s">
        <v>2010</v>
      </c>
      <c r="B64" s="10" t="s">
        <v>2011</v>
      </c>
      <c r="C64" s="10" t="s">
        <v>1943</v>
      </c>
      <c r="D64" s="11">
        <v>45390</v>
      </c>
      <c r="E64" s="12">
        <v>2600000</v>
      </c>
      <c r="F64" s="10" t="s">
        <v>726</v>
      </c>
      <c r="G64" s="10" t="s">
        <v>23</v>
      </c>
      <c r="H64" s="12">
        <v>2600000</v>
      </c>
      <c r="I64" s="12">
        <v>1099920</v>
      </c>
      <c r="J64" s="13">
        <f t="shared" si="15"/>
        <v>42.304615384615389</v>
      </c>
      <c r="K64" s="12">
        <v>2199838</v>
      </c>
      <c r="L64" s="12">
        <f>H64-1797143</f>
        <v>802857</v>
      </c>
      <c r="M64" s="12">
        <v>402695</v>
      </c>
      <c r="N64" s="12">
        <f t="shared" si="16"/>
        <v>520000</v>
      </c>
      <c r="O64" s="14">
        <v>0.43</v>
      </c>
      <c r="P64" s="12">
        <f t="shared" si="17"/>
        <v>1867109.3023255814</v>
      </c>
      <c r="Q64" s="15">
        <f t="shared" si="18"/>
        <v>42.862931642001413</v>
      </c>
      <c r="R64" s="15">
        <f t="shared" si="19"/>
        <v>21.499081726354454</v>
      </c>
      <c r="S64" s="10" t="s">
        <v>24</v>
      </c>
    </row>
    <row r="65" spans="1:19" x14ac:dyDescent="0.25">
      <c r="A65" s="10" t="s">
        <v>2012</v>
      </c>
      <c r="B65" s="10" t="s">
        <v>2013</v>
      </c>
      <c r="C65" s="10" t="s">
        <v>1943</v>
      </c>
      <c r="D65" s="11">
        <v>45348</v>
      </c>
      <c r="E65" s="12">
        <v>1150000</v>
      </c>
      <c r="F65" s="10" t="s">
        <v>22</v>
      </c>
      <c r="G65" s="10" t="s">
        <v>23</v>
      </c>
      <c r="H65" s="12">
        <v>1150000</v>
      </c>
      <c r="I65" s="12">
        <v>574010</v>
      </c>
      <c r="J65" s="13">
        <f t="shared" si="15"/>
        <v>49.91391304347826</v>
      </c>
      <c r="K65" s="12">
        <v>1148029</v>
      </c>
      <c r="L65" s="12">
        <f>H65-820175</f>
        <v>329825</v>
      </c>
      <c r="M65" s="12">
        <v>327854</v>
      </c>
      <c r="N65" s="12">
        <f t="shared" si="16"/>
        <v>230000</v>
      </c>
      <c r="O65" s="14">
        <v>0.35</v>
      </c>
      <c r="P65" s="12">
        <f t="shared" si="17"/>
        <v>942357.14285714296</v>
      </c>
      <c r="Q65" s="15">
        <f t="shared" si="18"/>
        <v>21.633543224452318</v>
      </c>
      <c r="R65" s="15">
        <f t="shared" si="19"/>
        <v>21.504263413354323</v>
      </c>
      <c r="S65" s="10" t="s">
        <v>24</v>
      </c>
    </row>
    <row r="66" spans="1:19" x14ac:dyDescent="0.25">
      <c r="A66" s="10" t="s">
        <v>2014</v>
      </c>
      <c r="B66" s="10" t="s">
        <v>2015</v>
      </c>
      <c r="C66" s="10" t="s">
        <v>1943</v>
      </c>
      <c r="D66" s="11">
        <v>45547</v>
      </c>
      <c r="E66" s="12">
        <v>860000</v>
      </c>
      <c r="F66" s="10" t="s">
        <v>29</v>
      </c>
      <c r="G66" s="10" t="s">
        <v>23</v>
      </c>
      <c r="H66" s="12">
        <v>860000</v>
      </c>
      <c r="I66" s="12">
        <v>420190</v>
      </c>
      <c r="J66" s="13">
        <f t="shared" si="15"/>
        <v>48.859302325581396</v>
      </c>
      <c r="K66" s="12">
        <v>840371</v>
      </c>
      <c r="L66" s="12">
        <f>H66-565028</f>
        <v>294972</v>
      </c>
      <c r="M66" s="12">
        <v>275343</v>
      </c>
      <c r="N66" s="12">
        <f t="shared" si="16"/>
        <v>172000</v>
      </c>
      <c r="O66" s="14">
        <v>0.29399999999999998</v>
      </c>
      <c r="P66" s="12">
        <f t="shared" si="17"/>
        <v>1003306.1224489796</v>
      </c>
      <c r="Q66" s="15">
        <f t="shared" si="18"/>
        <v>23.032739266505502</v>
      </c>
      <c r="R66" s="15">
        <f t="shared" si="19"/>
        <v>21.500018740278481</v>
      </c>
      <c r="S66" s="10" t="s">
        <v>24</v>
      </c>
    </row>
    <row r="67" spans="1:19" x14ac:dyDescent="0.25">
      <c r="A67" s="10" t="s">
        <v>2016</v>
      </c>
      <c r="B67" s="10" t="s">
        <v>2017</v>
      </c>
      <c r="C67" s="10" t="s">
        <v>1943</v>
      </c>
      <c r="D67" s="11">
        <v>45309</v>
      </c>
      <c r="E67" s="12">
        <v>1062500</v>
      </c>
      <c r="F67" s="10" t="s">
        <v>22</v>
      </c>
      <c r="G67" s="10" t="s">
        <v>23</v>
      </c>
      <c r="H67" s="12">
        <v>1062500</v>
      </c>
      <c r="I67" s="12">
        <v>564360</v>
      </c>
      <c r="J67" s="13">
        <f t="shared" si="15"/>
        <v>53.116235294117644</v>
      </c>
      <c r="K67" s="12">
        <v>1128721</v>
      </c>
      <c r="L67" s="12">
        <f>H67-741930</f>
        <v>320570</v>
      </c>
      <c r="M67" s="12">
        <v>386791</v>
      </c>
      <c r="N67" s="12">
        <f t="shared" si="16"/>
        <v>212500</v>
      </c>
      <c r="O67" s="14">
        <v>0.41299999999999998</v>
      </c>
      <c r="P67" s="12">
        <f t="shared" si="17"/>
        <v>776198.54721549642</v>
      </c>
      <c r="Q67" s="15">
        <f t="shared" si="18"/>
        <v>17.819066740484306</v>
      </c>
      <c r="R67" s="15">
        <f t="shared" si="19"/>
        <v>21.499998888288566</v>
      </c>
      <c r="S67" s="10" t="s">
        <v>24</v>
      </c>
    </row>
    <row r="68" spans="1:19" x14ac:dyDescent="0.25">
      <c r="A68" s="10" t="s">
        <v>2018</v>
      </c>
      <c r="B68" s="10" t="s">
        <v>2019</v>
      </c>
      <c r="C68" s="10" t="s">
        <v>1943</v>
      </c>
      <c r="D68" s="11">
        <v>45245</v>
      </c>
      <c r="E68" s="12">
        <v>1030000</v>
      </c>
      <c r="F68" s="10" t="s">
        <v>22</v>
      </c>
      <c r="G68" s="10" t="s">
        <v>23</v>
      </c>
      <c r="H68" s="12">
        <v>1030000</v>
      </c>
      <c r="I68" s="12">
        <v>610140</v>
      </c>
      <c r="J68" s="13">
        <f t="shared" si="15"/>
        <v>59.236893203883497</v>
      </c>
      <c r="K68" s="12">
        <v>1220270</v>
      </c>
      <c r="L68" s="12">
        <f>H68-933689</f>
        <v>96311</v>
      </c>
      <c r="M68" s="12">
        <v>286581</v>
      </c>
      <c r="N68" s="12">
        <f t="shared" si="16"/>
        <v>206000</v>
      </c>
      <c r="O68" s="14">
        <v>0.30599999999999999</v>
      </c>
      <c r="P68" s="12">
        <f t="shared" si="17"/>
        <v>314741.83006535948</v>
      </c>
      <c r="Q68" s="15">
        <f t="shared" si="18"/>
        <v>7.2254781925013658</v>
      </c>
      <c r="R68" s="15">
        <f t="shared" si="19"/>
        <v>21.499981994634403</v>
      </c>
      <c r="S68" s="10" t="s">
        <v>24</v>
      </c>
    </row>
    <row r="69" spans="1:19" x14ac:dyDescent="0.25">
      <c r="A69" s="10" t="s">
        <v>2020</v>
      </c>
      <c r="B69" s="10" t="s">
        <v>2021</v>
      </c>
      <c r="C69" s="10" t="s">
        <v>1943</v>
      </c>
      <c r="D69" s="11">
        <v>45735</v>
      </c>
      <c r="E69" s="12">
        <v>1040000</v>
      </c>
      <c r="F69" s="10" t="s">
        <v>22</v>
      </c>
      <c r="G69" s="10" t="s">
        <v>23</v>
      </c>
      <c r="H69" s="12">
        <v>1040000</v>
      </c>
      <c r="I69" s="12">
        <v>449110</v>
      </c>
      <c r="J69" s="13">
        <f t="shared" si="15"/>
        <v>43.183653846153845</v>
      </c>
      <c r="K69" s="12">
        <v>898215</v>
      </c>
      <c r="L69" s="12">
        <f>H69-561061</f>
        <v>478939</v>
      </c>
      <c r="M69" s="12">
        <v>337154</v>
      </c>
      <c r="N69" s="12">
        <f t="shared" si="16"/>
        <v>208000</v>
      </c>
      <c r="O69" s="14">
        <v>0.36</v>
      </c>
      <c r="P69" s="12">
        <f t="shared" si="17"/>
        <v>1330386.1111111112</v>
      </c>
      <c r="Q69" s="15">
        <f t="shared" si="18"/>
        <v>30.541462605856548</v>
      </c>
      <c r="R69" s="15">
        <f t="shared" si="19"/>
        <v>21.499974492398735</v>
      </c>
      <c r="S69" s="10" t="s">
        <v>24</v>
      </c>
    </row>
    <row r="70" spans="1:19" x14ac:dyDescent="0.25">
      <c r="A70" s="10" t="s">
        <v>2022</v>
      </c>
      <c r="B70" s="10" t="s">
        <v>2023</v>
      </c>
      <c r="C70" s="10" t="s">
        <v>1943</v>
      </c>
      <c r="D70" s="11">
        <v>45117</v>
      </c>
      <c r="E70" s="12">
        <v>1880000</v>
      </c>
      <c r="F70" s="10" t="s">
        <v>29</v>
      </c>
      <c r="G70" s="10" t="s">
        <v>23</v>
      </c>
      <c r="H70" s="12">
        <v>1880000</v>
      </c>
      <c r="I70" s="12">
        <v>880670</v>
      </c>
      <c r="J70" s="13">
        <f t="shared" si="15"/>
        <v>46.844148936170207</v>
      </c>
      <c r="K70" s="12">
        <v>1761342</v>
      </c>
      <c r="L70" s="12">
        <f>H70-1464459</f>
        <v>415541</v>
      </c>
      <c r="M70" s="12">
        <v>296883</v>
      </c>
      <c r="N70" s="12">
        <f t="shared" si="16"/>
        <v>376000</v>
      </c>
      <c r="O70" s="14">
        <v>0.317</v>
      </c>
      <c r="P70" s="12">
        <f t="shared" si="17"/>
        <v>1310854.8895899053</v>
      </c>
      <c r="Q70" s="15">
        <f t="shared" si="18"/>
        <v>30.093087456150258</v>
      </c>
      <c r="R70" s="15">
        <f t="shared" si="19"/>
        <v>21.4999869645697</v>
      </c>
      <c r="S70" s="10" t="s">
        <v>24</v>
      </c>
    </row>
    <row r="71" spans="1:19" x14ac:dyDescent="0.25">
      <c r="A71" s="10" t="s">
        <v>2024</v>
      </c>
      <c r="B71" s="10" t="s">
        <v>2025</v>
      </c>
      <c r="C71" s="10" t="s">
        <v>1943</v>
      </c>
      <c r="D71" s="11">
        <v>45670</v>
      </c>
      <c r="E71" s="12">
        <v>2130000</v>
      </c>
      <c r="F71" s="10" t="s">
        <v>22</v>
      </c>
      <c r="G71" s="10" t="s">
        <v>23</v>
      </c>
      <c r="H71" s="12">
        <v>2130000</v>
      </c>
      <c r="I71" s="12">
        <v>766420</v>
      </c>
      <c r="J71" s="13">
        <f t="shared" si="15"/>
        <v>35.982159624413143</v>
      </c>
      <c r="K71" s="12">
        <v>1532840</v>
      </c>
      <c r="L71" s="12">
        <f>H71-1193813</f>
        <v>936187</v>
      </c>
      <c r="M71" s="12">
        <v>339027</v>
      </c>
      <c r="N71" s="12">
        <f t="shared" si="16"/>
        <v>426000</v>
      </c>
      <c r="O71" s="14">
        <v>0.36199999999999999</v>
      </c>
      <c r="P71" s="12">
        <f t="shared" si="17"/>
        <v>2586151.9337016577</v>
      </c>
      <c r="Q71" s="15">
        <f t="shared" si="18"/>
        <v>59.369879102425564</v>
      </c>
      <c r="R71" s="15">
        <f t="shared" si="19"/>
        <v>21.499969559989651</v>
      </c>
      <c r="S71" s="10" t="s">
        <v>24</v>
      </c>
    </row>
    <row r="72" spans="1:19" x14ac:dyDescent="0.25">
      <c r="A72" s="10" t="s">
        <v>2026</v>
      </c>
      <c r="B72" s="10" t="s">
        <v>2027</v>
      </c>
      <c r="C72" s="10" t="s">
        <v>1943</v>
      </c>
      <c r="D72" s="11">
        <v>45588</v>
      </c>
      <c r="E72" s="12">
        <v>850000</v>
      </c>
      <c r="F72" s="10" t="s">
        <v>29</v>
      </c>
      <c r="G72" s="10" t="s">
        <v>23</v>
      </c>
      <c r="H72" s="12">
        <v>850000</v>
      </c>
      <c r="I72" s="12">
        <v>578760</v>
      </c>
      <c r="J72" s="13">
        <f t="shared" si="15"/>
        <v>68.089411764705886</v>
      </c>
      <c r="K72" s="12">
        <v>1157524</v>
      </c>
      <c r="L72" s="12">
        <f>H72-832545</f>
        <v>17455</v>
      </c>
      <c r="M72" s="12">
        <v>324979</v>
      </c>
      <c r="N72" s="12">
        <f t="shared" si="16"/>
        <v>170000</v>
      </c>
      <c r="O72" s="14">
        <v>0.34699999999999998</v>
      </c>
      <c r="P72" s="12">
        <f t="shared" si="17"/>
        <v>50302.593659942366</v>
      </c>
      <c r="Q72" s="15">
        <f t="shared" si="18"/>
        <v>1.1547886515138284</v>
      </c>
      <c r="R72" s="15">
        <f t="shared" si="19"/>
        <v>21.499974859943421</v>
      </c>
      <c r="S72" s="10" t="s">
        <v>24</v>
      </c>
    </row>
    <row r="73" spans="1:19" x14ac:dyDescent="0.25">
      <c r="A73" s="10" t="s">
        <v>2028</v>
      </c>
      <c r="B73" s="10" t="s">
        <v>2029</v>
      </c>
      <c r="C73" s="10" t="s">
        <v>1943</v>
      </c>
      <c r="D73" s="11">
        <v>45099</v>
      </c>
      <c r="E73" s="12">
        <v>1369000</v>
      </c>
      <c r="F73" s="10" t="s">
        <v>22</v>
      </c>
      <c r="G73" s="10" t="s">
        <v>23</v>
      </c>
      <c r="H73" s="12">
        <v>1369000</v>
      </c>
      <c r="I73" s="12">
        <v>625460</v>
      </c>
      <c r="J73" s="13">
        <f t="shared" si="15"/>
        <v>45.687363038714388</v>
      </c>
      <c r="K73" s="12">
        <v>1250921</v>
      </c>
      <c r="L73" s="12">
        <f>H73-912830</f>
        <v>456170</v>
      </c>
      <c r="M73" s="12">
        <v>338091</v>
      </c>
      <c r="N73" s="12">
        <f t="shared" si="16"/>
        <v>273800</v>
      </c>
      <c r="O73" s="14">
        <v>0.36099999999999999</v>
      </c>
      <c r="P73" s="12">
        <f t="shared" si="17"/>
        <v>1263628.8088642659</v>
      </c>
      <c r="Q73" s="15">
        <f t="shared" si="18"/>
        <v>29.008925823330255</v>
      </c>
      <c r="R73" s="15">
        <f t="shared" si="19"/>
        <v>21.500003815541465</v>
      </c>
      <c r="S73" s="10" t="s">
        <v>24</v>
      </c>
    </row>
    <row r="74" spans="1:19" x14ac:dyDescent="0.25">
      <c r="A74" s="10" t="s">
        <v>2030</v>
      </c>
      <c r="B74" s="10" t="s">
        <v>2031</v>
      </c>
      <c r="C74" s="10" t="s">
        <v>1943</v>
      </c>
      <c r="D74" s="11">
        <v>45189</v>
      </c>
      <c r="E74" s="12">
        <v>1175000</v>
      </c>
      <c r="F74" s="10" t="s">
        <v>22</v>
      </c>
      <c r="G74" s="10" t="s">
        <v>23</v>
      </c>
      <c r="H74" s="12">
        <v>1175000</v>
      </c>
      <c r="I74" s="12">
        <v>655750</v>
      </c>
      <c r="J74" s="13">
        <f t="shared" si="15"/>
        <v>55.808510638297868</v>
      </c>
      <c r="K74" s="12">
        <v>1311500</v>
      </c>
      <c r="L74" s="12">
        <f>H74-762731</f>
        <v>412269</v>
      </c>
      <c r="M74" s="12">
        <v>548769</v>
      </c>
      <c r="N74" s="12">
        <f t="shared" si="16"/>
        <v>235000</v>
      </c>
      <c r="O74" s="14">
        <v>0.63200000000000001</v>
      </c>
      <c r="P74" s="12">
        <f t="shared" si="17"/>
        <v>652324.36708860763</v>
      </c>
      <c r="Q74" s="15">
        <f t="shared" si="18"/>
        <v>14.975306866129651</v>
      </c>
      <c r="R74" s="15">
        <f t="shared" si="19"/>
        <v>19.933548662691354</v>
      </c>
      <c r="S74" s="10" t="s">
        <v>24</v>
      </c>
    </row>
    <row r="75" spans="1:19" x14ac:dyDescent="0.25">
      <c r="A75" s="10" t="s">
        <v>2032</v>
      </c>
      <c r="B75" s="10" t="s">
        <v>2033</v>
      </c>
      <c r="C75" s="10" t="s">
        <v>1943</v>
      </c>
      <c r="D75" s="11">
        <v>45132</v>
      </c>
      <c r="E75" s="12">
        <v>1550000</v>
      </c>
      <c r="F75" s="10" t="s">
        <v>22</v>
      </c>
      <c r="G75" s="10" t="s">
        <v>23</v>
      </c>
      <c r="H75" s="12">
        <v>1550000</v>
      </c>
      <c r="I75" s="12">
        <v>645410</v>
      </c>
      <c r="J75" s="13">
        <f t="shared" si="15"/>
        <v>41.639354838709679</v>
      </c>
      <c r="K75" s="12">
        <v>1290816</v>
      </c>
      <c r="L75" s="12">
        <f>H75-956471</f>
        <v>593529</v>
      </c>
      <c r="M75" s="12">
        <v>334345</v>
      </c>
      <c r="N75" s="12">
        <f t="shared" si="16"/>
        <v>310000</v>
      </c>
      <c r="O75" s="14">
        <v>0.35699999999999998</v>
      </c>
      <c r="P75" s="12">
        <f t="shared" si="17"/>
        <v>1662546.218487395</v>
      </c>
      <c r="Q75" s="15">
        <f t="shared" si="18"/>
        <v>38.166809423493916</v>
      </c>
      <c r="R75" s="15">
        <f t="shared" si="19"/>
        <v>21.500014147072971</v>
      </c>
      <c r="S75" s="10" t="s">
        <v>24</v>
      </c>
    </row>
    <row r="76" spans="1:19" x14ac:dyDescent="0.25">
      <c r="A76" s="10" t="s">
        <v>2034</v>
      </c>
      <c r="B76" s="10" t="s">
        <v>2035</v>
      </c>
      <c r="C76" s="10" t="s">
        <v>1943</v>
      </c>
      <c r="D76" s="11">
        <v>45352</v>
      </c>
      <c r="E76" s="12">
        <v>1000000</v>
      </c>
      <c r="F76" s="10" t="s">
        <v>22</v>
      </c>
      <c r="G76" s="10" t="s">
        <v>23</v>
      </c>
      <c r="H76" s="12">
        <v>1000000</v>
      </c>
      <c r="I76" s="12">
        <v>546270</v>
      </c>
      <c r="J76" s="13">
        <f t="shared" si="15"/>
        <v>54.627000000000002</v>
      </c>
      <c r="K76" s="12">
        <v>1092535</v>
      </c>
      <c r="L76" s="12">
        <f>H76-594993</f>
        <v>405007</v>
      </c>
      <c r="M76" s="12">
        <v>497542</v>
      </c>
      <c r="N76" s="12">
        <f t="shared" si="16"/>
        <v>200000</v>
      </c>
      <c r="O76" s="14">
        <v>0.54800000000000004</v>
      </c>
      <c r="P76" s="12">
        <f t="shared" si="17"/>
        <v>739063.86861313868</v>
      </c>
      <c r="Q76" s="15">
        <f t="shared" si="18"/>
        <v>16.966571823074808</v>
      </c>
      <c r="R76" s="15">
        <f t="shared" si="19"/>
        <v>20.843052287975976</v>
      </c>
      <c r="S76" s="10" t="s">
        <v>24</v>
      </c>
    </row>
    <row r="77" spans="1:19" x14ac:dyDescent="0.25">
      <c r="A77" s="10" t="s">
        <v>2036</v>
      </c>
      <c r="B77" s="10" t="s">
        <v>2037</v>
      </c>
      <c r="C77" s="10" t="s">
        <v>1943</v>
      </c>
      <c r="D77" s="11">
        <v>45513</v>
      </c>
      <c r="E77" s="12">
        <v>1750000</v>
      </c>
      <c r="F77" s="10" t="s">
        <v>29</v>
      </c>
      <c r="G77" s="10" t="s">
        <v>23</v>
      </c>
      <c r="H77" s="12">
        <v>1750000</v>
      </c>
      <c r="I77" s="12">
        <v>794030</v>
      </c>
      <c r="J77" s="13">
        <f t="shared" si="15"/>
        <v>45.373142857142859</v>
      </c>
      <c r="K77" s="12">
        <v>1588069</v>
      </c>
      <c r="L77" s="12">
        <f>H77-1161007</f>
        <v>588993</v>
      </c>
      <c r="M77" s="12">
        <v>427062</v>
      </c>
      <c r="N77" s="12">
        <f t="shared" si="16"/>
        <v>350000</v>
      </c>
      <c r="O77" s="14">
        <v>0.45600000000000002</v>
      </c>
      <c r="P77" s="12">
        <f t="shared" si="17"/>
        <v>1291651.3157894737</v>
      </c>
      <c r="Q77" s="15">
        <f t="shared" si="18"/>
        <v>29.652234063119231</v>
      </c>
      <c r="R77" s="15">
        <f t="shared" si="19"/>
        <v>21.499987917452032</v>
      </c>
      <c r="S77" s="10" t="s">
        <v>24</v>
      </c>
    </row>
    <row r="78" spans="1:19" x14ac:dyDescent="0.25">
      <c r="A78" s="10" t="s">
        <v>2038</v>
      </c>
      <c r="B78" s="10" t="s">
        <v>2039</v>
      </c>
      <c r="C78" s="10" t="s">
        <v>1943</v>
      </c>
      <c r="D78" s="11">
        <v>45174</v>
      </c>
      <c r="E78" s="12">
        <v>1097500</v>
      </c>
      <c r="F78" s="10" t="s">
        <v>22</v>
      </c>
      <c r="G78" s="10" t="s">
        <v>23</v>
      </c>
      <c r="H78" s="12">
        <v>1097500</v>
      </c>
      <c r="I78" s="12">
        <v>431320</v>
      </c>
      <c r="J78" s="13">
        <f t="shared" si="15"/>
        <v>39.3002277904328</v>
      </c>
      <c r="K78" s="12">
        <v>862643</v>
      </c>
      <c r="L78" s="12">
        <f>H78-634127</f>
        <v>463373</v>
      </c>
      <c r="M78" s="12">
        <v>228516</v>
      </c>
      <c r="N78" s="12">
        <f t="shared" si="16"/>
        <v>219500</v>
      </c>
      <c r="O78" s="14">
        <v>0.24399999999999999</v>
      </c>
      <c r="P78" s="12">
        <f t="shared" si="17"/>
        <v>1899069.6721311475</v>
      </c>
      <c r="Q78" s="15">
        <f t="shared" si="18"/>
        <v>43.596640774360594</v>
      </c>
      <c r="R78" s="15">
        <f t="shared" si="19"/>
        <v>21.500022580499479</v>
      </c>
      <c r="S78" s="10" t="s">
        <v>24</v>
      </c>
    </row>
    <row r="79" spans="1:19" x14ac:dyDescent="0.25">
      <c r="A79" s="10" t="s">
        <v>2040</v>
      </c>
      <c r="B79" s="10" t="s">
        <v>2041</v>
      </c>
      <c r="C79" s="10" t="s">
        <v>1943</v>
      </c>
      <c r="D79" s="11">
        <v>45674</v>
      </c>
      <c r="E79" s="12">
        <v>599000</v>
      </c>
      <c r="F79" s="10" t="s">
        <v>22</v>
      </c>
      <c r="G79" s="10" t="s">
        <v>23</v>
      </c>
      <c r="H79" s="12">
        <v>599000</v>
      </c>
      <c r="I79" s="12">
        <v>249600</v>
      </c>
      <c r="J79" s="13">
        <f t="shared" si="15"/>
        <v>41.669449081803009</v>
      </c>
      <c r="K79" s="12">
        <v>499200</v>
      </c>
      <c r="L79" s="12">
        <f>H79-281454</f>
        <v>317546</v>
      </c>
      <c r="M79" s="12">
        <v>217746</v>
      </c>
      <c r="N79" s="12">
        <f t="shared" si="16"/>
        <v>119800</v>
      </c>
      <c r="O79" s="14">
        <v>0.31</v>
      </c>
      <c r="P79" s="12">
        <f t="shared" si="17"/>
        <v>1024341.935483871</v>
      </c>
      <c r="Q79" s="15">
        <f t="shared" si="18"/>
        <v>23.515655084570042</v>
      </c>
      <c r="R79" s="15">
        <f t="shared" si="19"/>
        <v>16.125033324446814</v>
      </c>
      <c r="S79" s="10" t="s">
        <v>24</v>
      </c>
    </row>
    <row r="80" spans="1:19" x14ac:dyDescent="0.25">
      <c r="A80" s="10" t="s">
        <v>2042</v>
      </c>
      <c r="B80" s="10" t="s">
        <v>2043</v>
      </c>
      <c r="C80" s="10" t="s">
        <v>1943</v>
      </c>
      <c r="D80" s="11">
        <v>45587</v>
      </c>
      <c r="E80" s="12">
        <v>806000</v>
      </c>
      <c r="F80" s="10" t="s">
        <v>29</v>
      </c>
      <c r="G80" s="10" t="s">
        <v>23</v>
      </c>
      <c r="H80" s="12">
        <v>806000</v>
      </c>
      <c r="I80" s="12">
        <v>392440</v>
      </c>
      <c r="J80" s="13">
        <f t="shared" si="15"/>
        <v>48.689826302729529</v>
      </c>
      <c r="K80" s="12">
        <v>784878</v>
      </c>
      <c r="L80" s="12">
        <f>H80-419627</f>
        <v>386373</v>
      </c>
      <c r="M80" s="12">
        <v>365251</v>
      </c>
      <c r="N80" s="12">
        <f t="shared" si="16"/>
        <v>161200</v>
      </c>
      <c r="O80" s="14">
        <v>0.39</v>
      </c>
      <c r="P80" s="12">
        <f t="shared" si="17"/>
        <v>990700</v>
      </c>
      <c r="Q80" s="15">
        <f t="shared" si="18"/>
        <v>22.743342516069788</v>
      </c>
      <c r="R80" s="15">
        <f t="shared" si="19"/>
        <v>21.50002354547809</v>
      </c>
      <c r="S80" s="10" t="s">
        <v>24</v>
      </c>
    </row>
    <row r="81" spans="1:19" x14ac:dyDescent="0.25">
      <c r="A81" s="10" t="s">
        <v>2044</v>
      </c>
      <c r="B81" s="10" t="s">
        <v>2045</v>
      </c>
      <c r="C81" s="10" t="s">
        <v>1943</v>
      </c>
      <c r="D81" s="11">
        <v>45426</v>
      </c>
      <c r="E81" s="12">
        <v>1250000</v>
      </c>
      <c r="F81" s="10" t="s">
        <v>29</v>
      </c>
      <c r="G81" s="10" t="s">
        <v>23</v>
      </c>
      <c r="H81" s="12">
        <v>1250000</v>
      </c>
      <c r="I81" s="12">
        <v>517420</v>
      </c>
      <c r="J81" s="13">
        <f t="shared" si="15"/>
        <v>41.393599999999999</v>
      </c>
      <c r="K81" s="12">
        <v>1034831</v>
      </c>
      <c r="L81" s="12">
        <f>H81-610578</f>
        <v>639422</v>
      </c>
      <c r="M81" s="12">
        <v>424253</v>
      </c>
      <c r="N81" s="12">
        <f t="shared" si="16"/>
        <v>250000</v>
      </c>
      <c r="O81" s="14">
        <v>0.45300000000000001</v>
      </c>
      <c r="P81" s="12">
        <f t="shared" si="17"/>
        <v>1411527.5938189845</v>
      </c>
      <c r="Q81" s="15">
        <f t="shared" si="18"/>
        <v>32.404214734136467</v>
      </c>
      <c r="R81" s="15">
        <f t="shared" si="19"/>
        <v>21.500019257394332</v>
      </c>
      <c r="S81" s="10" t="s">
        <v>24</v>
      </c>
    </row>
    <row r="82" spans="1:19" x14ac:dyDescent="0.25">
      <c r="A82" s="10" t="s">
        <v>2046</v>
      </c>
      <c r="B82" s="10" t="s">
        <v>2047</v>
      </c>
      <c r="C82" s="10" t="s">
        <v>1943</v>
      </c>
      <c r="D82" s="11">
        <v>45379</v>
      </c>
      <c r="E82" s="12">
        <v>1127500</v>
      </c>
      <c r="F82" s="10" t="s">
        <v>29</v>
      </c>
      <c r="G82" s="10" t="s">
        <v>23</v>
      </c>
      <c r="H82" s="12">
        <v>1127500</v>
      </c>
      <c r="I82" s="12">
        <v>448400</v>
      </c>
      <c r="J82" s="13">
        <f t="shared" si="15"/>
        <v>39.769401330376944</v>
      </c>
      <c r="K82" s="12">
        <v>896801</v>
      </c>
      <c r="L82" s="12">
        <f>H82-573695</f>
        <v>553805</v>
      </c>
      <c r="M82" s="12">
        <v>323106</v>
      </c>
      <c r="N82" s="12">
        <f t="shared" si="16"/>
        <v>225500</v>
      </c>
      <c r="O82" s="14">
        <v>0.34499999999999997</v>
      </c>
      <c r="P82" s="12">
        <f t="shared" si="17"/>
        <v>1605231.8840579712</v>
      </c>
      <c r="Q82" s="15">
        <f t="shared" si="18"/>
        <v>36.851053353029641</v>
      </c>
      <c r="R82" s="15">
        <f t="shared" si="19"/>
        <v>21.499980037529447</v>
      </c>
      <c r="S82" s="10" t="s">
        <v>24</v>
      </c>
    </row>
    <row r="83" spans="1:19" x14ac:dyDescent="0.25">
      <c r="A83" s="10" t="s">
        <v>2048</v>
      </c>
      <c r="B83" s="10" t="s">
        <v>2049</v>
      </c>
      <c r="C83" s="10" t="s">
        <v>1943</v>
      </c>
      <c r="D83" s="11">
        <v>45468</v>
      </c>
      <c r="E83" s="12">
        <v>923000</v>
      </c>
      <c r="F83" s="10" t="s">
        <v>29</v>
      </c>
      <c r="G83" s="10" t="s">
        <v>23</v>
      </c>
      <c r="H83" s="12">
        <v>923000</v>
      </c>
      <c r="I83" s="12">
        <v>482290</v>
      </c>
      <c r="J83" s="13">
        <f t="shared" si="15"/>
        <v>52.252437703141929</v>
      </c>
      <c r="K83" s="12">
        <v>964586</v>
      </c>
      <c r="L83" s="12">
        <f>H83-642416</f>
        <v>280584</v>
      </c>
      <c r="M83" s="12">
        <v>322170</v>
      </c>
      <c r="N83" s="12">
        <f t="shared" si="16"/>
        <v>184600</v>
      </c>
      <c r="O83" s="14">
        <v>0.34399999999999997</v>
      </c>
      <c r="P83" s="12">
        <f t="shared" si="17"/>
        <v>815651.16279069777</v>
      </c>
      <c r="Q83" s="15">
        <f t="shared" si="18"/>
        <v>18.724774168748802</v>
      </c>
      <c r="R83" s="15">
        <f t="shared" si="19"/>
        <v>21.500016016400796</v>
      </c>
      <c r="S83" s="10" t="s">
        <v>24</v>
      </c>
    </row>
    <row r="84" spans="1:19" x14ac:dyDescent="0.25">
      <c r="A84" s="10" t="s">
        <v>2050</v>
      </c>
      <c r="B84" s="10" t="s">
        <v>2051</v>
      </c>
      <c r="C84" s="10" t="s">
        <v>1943</v>
      </c>
      <c r="D84" s="11">
        <v>45049</v>
      </c>
      <c r="E84" s="12">
        <v>1198000</v>
      </c>
      <c r="F84" s="10" t="s">
        <v>22</v>
      </c>
      <c r="G84" s="10" t="s">
        <v>23</v>
      </c>
      <c r="H84" s="12">
        <v>1198000</v>
      </c>
      <c r="I84" s="12">
        <v>660800</v>
      </c>
      <c r="J84" s="13">
        <f t="shared" si="15"/>
        <v>55.158597662771278</v>
      </c>
      <c r="K84" s="12">
        <v>1321599</v>
      </c>
      <c r="L84" s="12">
        <f>H84-845401</f>
        <v>352599</v>
      </c>
      <c r="M84" s="12">
        <v>476198</v>
      </c>
      <c r="N84" s="12">
        <f t="shared" si="16"/>
        <v>239600</v>
      </c>
      <c r="O84" s="14">
        <v>0.51300000000000001</v>
      </c>
      <c r="P84" s="12">
        <f t="shared" si="17"/>
        <v>687327.48538011697</v>
      </c>
      <c r="Q84" s="15">
        <f t="shared" si="18"/>
        <v>15.778867892105533</v>
      </c>
      <c r="R84" s="15">
        <f t="shared" si="19"/>
        <v>21.309945100482047</v>
      </c>
      <c r="S84" s="10" t="s">
        <v>24</v>
      </c>
    </row>
    <row r="85" spans="1:19" x14ac:dyDescent="0.25">
      <c r="A85" s="10" t="s">
        <v>2052</v>
      </c>
      <c r="B85" s="10" t="s">
        <v>2053</v>
      </c>
      <c r="C85" s="10" t="s">
        <v>1943</v>
      </c>
      <c r="D85" s="11">
        <v>45539</v>
      </c>
      <c r="E85" s="12">
        <v>1255000</v>
      </c>
      <c r="F85" s="10" t="s">
        <v>22</v>
      </c>
      <c r="G85" s="10" t="s">
        <v>23</v>
      </c>
      <c r="H85" s="12">
        <v>1255000</v>
      </c>
      <c r="I85" s="12">
        <v>511820</v>
      </c>
      <c r="J85" s="13">
        <f t="shared" si="15"/>
        <v>40.782470119521911</v>
      </c>
      <c r="K85" s="12">
        <v>1023632</v>
      </c>
      <c r="L85" s="12">
        <f>H85-653699</f>
        <v>601301</v>
      </c>
      <c r="M85" s="12">
        <v>369933</v>
      </c>
      <c r="N85" s="12">
        <f t="shared" si="16"/>
        <v>251000</v>
      </c>
      <c r="O85" s="14">
        <v>0.39500000000000002</v>
      </c>
      <c r="P85" s="12">
        <f t="shared" si="17"/>
        <v>1522281.0126582277</v>
      </c>
      <c r="Q85" s="15">
        <f t="shared" si="18"/>
        <v>34.946763375992369</v>
      </c>
      <c r="R85" s="15">
        <f t="shared" si="19"/>
        <v>21.499982564424453</v>
      </c>
      <c r="S85" s="10" t="s">
        <v>24</v>
      </c>
    </row>
    <row r="86" spans="1:19" x14ac:dyDescent="0.25">
      <c r="A86" s="10" t="s">
        <v>2054</v>
      </c>
      <c r="B86" s="10" t="s">
        <v>2055</v>
      </c>
      <c r="C86" s="10" t="s">
        <v>1943</v>
      </c>
      <c r="D86" s="11">
        <v>45261</v>
      </c>
      <c r="E86" s="12">
        <v>1150000</v>
      </c>
      <c r="F86" s="10" t="s">
        <v>29</v>
      </c>
      <c r="G86" s="10" t="s">
        <v>23</v>
      </c>
      <c r="H86" s="12">
        <v>1150000</v>
      </c>
      <c r="I86" s="12">
        <v>610300</v>
      </c>
      <c r="J86" s="13">
        <f t="shared" si="15"/>
        <v>53.0695652173913</v>
      </c>
      <c r="K86" s="12">
        <v>1220606</v>
      </c>
      <c r="L86" s="12">
        <f>H86-738310</f>
        <v>411690</v>
      </c>
      <c r="M86" s="12">
        <v>482296</v>
      </c>
      <c r="N86" s="12">
        <f t="shared" si="16"/>
        <v>230000</v>
      </c>
      <c r="O86" s="14">
        <v>0.52300000000000002</v>
      </c>
      <c r="P86" s="12">
        <f t="shared" si="17"/>
        <v>787170.17208413</v>
      </c>
      <c r="Q86" s="15">
        <f t="shared" si="18"/>
        <v>18.070940589626492</v>
      </c>
      <c r="R86" s="15">
        <f t="shared" si="19"/>
        <v>21.170158037879226</v>
      </c>
      <c r="S86" s="10" t="s">
        <v>24</v>
      </c>
    </row>
    <row r="87" spans="1:19" x14ac:dyDescent="0.25">
      <c r="A87" s="10" t="s">
        <v>2056</v>
      </c>
      <c r="B87" s="10" t="s">
        <v>2057</v>
      </c>
      <c r="C87" s="10" t="s">
        <v>1943</v>
      </c>
      <c r="D87" s="11">
        <v>45071</v>
      </c>
      <c r="E87" s="12">
        <v>1175000</v>
      </c>
      <c r="F87" s="10" t="s">
        <v>22</v>
      </c>
      <c r="G87" s="10" t="s">
        <v>23</v>
      </c>
      <c r="H87" s="12">
        <v>1175000</v>
      </c>
      <c r="I87" s="12">
        <v>567340</v>
      </c>
      <c r="J87" s="13">
        <f t="shared" si="15"/>
        <v>48.28425531914894</v>
      </c>
      <c r="K87" s="12">
        <v>1134688</v>
      </c>
      <c r="L87" s="12">
        <f>H87-746960</f>
        <v>428040</v>
      </c>
      <c r="M87" s="12">
        <v>387728</v>
      </c>
      <c r="N87" s="12">
        <f t="shared" si="16"/>
        <v>235000</v>
      </c>
      <c r="O87" s="14">
        <v>0.41399999999999998</v>
      </c>
      <c r="P87" s="12">
        <f t="shared" si="17"/>
        <v>1033913.0434782609</v>
      </c>
      <c r="Q87" s="15">
        <f t="shared" si="18"/>
        <v>23.7353774903182</v>
      </c>
      <c r="R87" s="15">
        <f t="shared" si="19"/>
        <v>21.500024398575125</v>
      </c>
      <c r="S87" s="10" t="s">
        <v>24</v>
      </c>
    </row>
    <row r="88" spans="1:19" x14ac:dyDescent="0.25">
      <c r="A88" s="10" t="s">
        <v>2058</v>
      </c>
      <c r="B88" s="10" t="s">
        <v>2059</v>
      </c>
      <c r="C88" s="10" t="s">
        <v>1943</v>
      </c>
      <c r="D88" s="11">
        <v>45093</v>
      </c>
      <c r="E88" s="12">
        <v>725000</v>
      </c>
      <c r="F88" s="10" t="s">
        <v>22</v>
      </c>
      <c r="G88" s="10" t="s">
        <v>23</v>
      </c>
      <c r="H88" s="12">
        <v>725000</v>
      </c>
      <c r="I88" s="12">
        <v>368170</v>
      </c>
      <c r="J88" s="13">
        <f t="shared" si="15"/>
        <v>50.782068965517247</v>
      </c>
      <c r="K88" s="12">
        <v>736346</v>
      </c>
      <c r="L88" s="12">
        <f>H88-390763</f>
        <v>334237</v>
      </c>
      <c r="M88" s="12">
        <v>345583</v>
      </c>
      <c r="N88" s="12">
        <f t="shared" si="16"/>
        <v>145000</v>
      </c>
      <c r="O88" s="14">
        <v>0.36899999999999999</v>
      </c>
      <c r="P88" s="12">
        <f t="shared" si="17"/>
        <v>905791.32791327918</v>
      </c>
      <c r="Q88" s="15">
        <f t="shared" si="18"/>
        <v>20.794107619680421</v>
      </c>
      <c r="R88" s="15">
        <f t="shared" si="19"/>
        <v>21.499983824447977</v>
      </c>
      <c r="S88" s="10" t="s">
        <v>24</v>
      </c>
    </row>
    <row r="89" spans="1:19" x14ac:dyDescent="0.25">
      <c r="A89" s="10" t="s">
        <v>2060</v>
      </c>
      <c r="B89" s="10" t="s">
        <v>2061</v>
      </c>
      <c r="C89" s="10" t="s">
        <v>1943</v>
      </c>
      <c r="D89" s="11">
        <v>45187</v>
      </c>
      <c r="E89" s="12">
        <v>724900</v>
      </c>
      <c r="F89" s="10" t="s">
        <v>22</v>
      </c>
      <c r="G89" s="10" t="s">
        <v>23</v>
      </c>
      <c r="H89" s="12">
        <v>724900</v>
      </c>
      <c r="I89" s="12">
        <v>434240</v>
      </c>
      <c r="J89" s="13">
        <f t="shared" si="15"/>
        <v>59.90343495654573</v>
      </c>
      <c r="K89" s="12">
        <v>868472</v>
      </c>
      <c r="L89" s="12">
        <f>H89-524762</f>
        <v>200138</v>
      </c>
      <c r="M89" s="12">
        <v>343710</v>
      </c>
      <c r="N89" s="12">
        <f t="shared" si="16"/>
        <v>144980</v>
      </c>
      <c r="O89" s="14">
        <v>0.36699999999999999</v>
      </c>
      <c r="P89" s="12">
        <f t="shared" si="17"/>
        <v>545335.14986376022</v>
      </c>
      <c r="Q89" s="15">
        <f t="shared" si="18"/>
        <v>12.519172402749316</v>
      </c>
      <c r="R89" s="15">
        <f t="shared" si="19"/>
        <v>21.499988740513881</v>
      </c>
      <c r="S89" s="10" t="s">
        <v>24</v>
      </c>
    </row>
    <row r="90" spans="1:19" x14ac:dyDescent="0.25">
      <c r="A90" s="10" t="s">
        <v>2062</v>
      </c>
      <c r="B90" s="10" t="s">
        <v>2063</v>
      </c>
      <c r="C90" s="10" t="s">
        <v>1943</v>
      </c>
      <c r="D90" s="11">
        <v>45638</v>
      </c>
      <c r="E90" s="12">
        <v>640000</v>
      </c>
      <c r="F90" s="10" t="s">
        <v>29</v>
      </c>
      <c r="G90" s="10" t="s">
        <v>23</v>
      </c>
      <c r="H90" s="12">
        <v>640000</v>
      </c>
      <c r="I90" s="12">
        <v>437100</v>
      </c>
      <c r="J90" s="13">
        <f t="shared" si="15"/>
        <v>68.296875</v>
      </c>
      <c r="K90" s="12">
        <v>874190</v>
      </c>
      <c r="L90" s="12">
        <f>H90-436451</f>
        <v>203549</v>
      </c>
      <c r="M90" s="12">
        <v>437739</v>
      </c>
      <c r="N90" s="12">
        <f t="shared" si="16"/>
        <v>128000</v>
      </c>
      <c r="O90" s="14">
        <v>0.49199999999999999</v>
      </c>
      <c r="P90" s="12">
        <f t="shared" si="17"/>
        <v>413717.47967479675</v>
      </c>
      <c r="Q90" s="15">
        <f t="shared" si="18"/>
        <v>9.4976464571808261</v>
      </c>
      <c r="R90" s="15">
        <f t="shared" si="19"/>
        <v>20.425009518690228</v>
      </c>
      <c r="S90" s="10" t="s">
        <v>24</v>
      </c>
    </row>
    <row r="91" spans="1:19" x14ac:dyDescent="0.25">
      <c r="A91" s="10" t="s">
        <v>2064</v>
      </c>
      <c r="B91" s="10" t="s">
        <v>2065</v>
      </c>
      <c r="C91" s="10" t="s">
        <v>1943</v>
      </c>
      <c r="D91" s="11">
        <v>45097</v>
      </c>
      <c r="E91" s="12">
        <v>1585000</v>
      </c>
      <c r="F91" s="10" t="s">
        <v>22</v>
      </c>
      <c r="G91" s="10" t="s">
        <v>23</v>
      </c>
      <c r="H91" s="12">
        <v>1585000</v>
      </c>
      <c r="I91" s="12">
        <v>677320</v>
      </c>
      <c r="J91" s="13">
        <f t="shared" si="15"/>
        <v>42.733123028391169</v>
      </c>
      <c r="K91" s="12">
        <v>1354641</v>
      </c>
      <c r="L91" s="12">
        <f>H91-830876</f>
        <v>754124</v>
      </c>
      <c r="M91" s="12">
        <v>523765</v>
      </c>
      <c r="N91" s="12">
        <f t="shared" si="16"/>
        <v>317000</v>
      </c>
      <c r="O91" s="14">
        <v>0.59099999999999997</v>
      </c>
      <c r="P91" s="12">
        <f t="shared" si="17"/>
        <v>1276013.5363790186</v>
      </c>
      <c r="Q91" s="15">
        <f t="shared" si="18"/>
        <v>29.293240045432015</v>
      </c>
      <c r="R91" s="15">
        <f t="shared" si="19"/>
        <v>20.34516057358697</v>
      </c>
      <c r="S91" s="10" t="s">
        <v>24</v>
      </c>
    </row>
    <row r="92" spans="1:19" x14ac:dyDescent="0.25">
      <c r="A92" s="10" t="s">
        <v>2066</v>
      </c>
      <c r="B92" s="10" t="s">
        <v>2067</v>
      </c>
      <c r="C92" s="10" t="s">
        <v>1943</v>
      </c>
      <c r="D92" s="11">
        <v>45371</v>
      </c>
      <c r="E92" s="12">
        <v>1145000</v>
      </c>
      <c r="F92" s="10" t="s">
        <v>29</v>
      </c>
      <c r="G92" s="10" t="s">
        <v>23</v>
      </c>
      <c r="H92" s="12">
        <v>1145000</v>
      </c>
      <c r="I92" s="12">
        <v>568470</v>
      </c>
      <c r="J92" s="13">
        <f t="shared" si="15"/>
        <v>49.648034934497815</v>
      </c>
      <c r="K92" s="12">
        <v>1136938</v>
      </c>
      <c r="L92" s="12">
        <f>H92-738908</f>
        <v>406092</v>
      </c>
      <c r="M92" s="12">
        <v>398030</v>
      </c>
      <c r="N92" s="12">
        <f t="shared" si="16"/>
        <v>229000</v>
      </c>
      <c r="O92" s="14">
        <v>0.42499999999999999</v>
      </c>
      <c r="P92" s="12">
        <f t="shared" si="17"/>
        <v>955510.5882352941</v>
      </c>
      <c r="Q92" s="15">
        <f t="shared" si="18"/>
        <v>21.935504780424566</v>
      </c>
      <c r="R92" s="15">
        <f t="shared" si="19"/>
        <v>21.500027008048399</v>
      </c>
      <c r="S92" s="10" t="s">
        <v>24</v>
      </c>
    </row>
    <row r="93" spans="1:19" x14ac:dyDescent="0.25">
      <c r="A93" s="10" t="s">
        <v>2068</v>
      </c>
      <c r="B93" s="10" t="s">
        <v>2069</v>
      </c>
      <c r="C93" s="10" t="s">
        <v>1943</v>
      </c>
      <c r="D93" s="11">
        <v>45135</v>
      </c>
      <c r="E93" s="12">
        <v>1045000</v>
      </c>
      <c r="F93" s="10" t="s">
        <v>29</v>
      </c>
      <c r="G93" s="10" t="s">
        <v>23</v>
      </c>
      <c r="H93" s="12">
        <v>1045000</v>
      </c>
      <c r="I93" s="12">
        <v>621100</v>
      </c>
      <c r="J93" s="13">
        <f t="shared" si="15"/>
        <v>59.435406698564599</v>
      </c>
      <c r="K93" s="12">
        <v>1242195</v>
      </c>
      <c r="L93" s="12">
        <f>H93-951868</f>
        <v>93132</v>
      </c>
      <c r="M93" s="12">
        <v>290327</v>
      </c>
      <c r="N93" s="12">
        <f t="shared" si="16"/>
        <v>209000</v>
      </c>
      <c r="O93" s="14">
        <v>0.31</v>
      </c>
      <c r="P93" s="12">
        <f t="shared" si="17"/>
        <v>300425.80645161291</v>
      </c>
      <c r="Q93" s="15">
        <f t="shared" si="18"/>
        <v>6.8968275126632896</v>
      </c>
      <c r="R93" s="15">
        <f t="shared" si="19"/>
        <v>21.499970378269499</v>
      </c>
      <c r="S93" s="10" t="s">
        <v>24</v>
      </c>
    </row>
    <row r="94" spans="1:19" x14ac:dyDescent="0.25">
      <c r="A94" s="10" t="s">
        <v>2070</v>
      </c>
      <c r="B94" s="10" t="s">
        <v>2071</v>
      </c>
      <c r="C94" s="10" t="s">
        <v>1943</v>
      </c>
      <c r="D94" s="11">
        <v>45561</v>
      </c>
      <c r="E94" s="12">
        <v>905000</v>
      </c>
      <c r="F94" s="10" t="s">
        <v>29</v>
      </c>
      <c r="G94" s="10" t="s">
        <v>23</v>
      </c>
      <c r="H94" s="12">
        <v>905000</v>
      </c>
      <c r="I94" s="12">
        <v>516430</v>
      </c>
      <c r="J94" s="13">
        <f t="shared" ref="J94:J125" si="20">I94/H94*100</f>
        <v>57.064088397790059</v>
      </c>
      <c r="K94" s="12">
        <v>1032852</v>
      </c>
      <c r="L94" s="12">
        <f>H94-624521</f>
        <v>280479</v>
      </c>
      <c r="M94" s="12">
        <v>408331</v>
      </c>
      <c r="N94" s="12">
        <f t="shared" ref="N94:N106" si="21">E94*0.2</f>
        <v>181000</v>
      </c>
      <c r="O94" s="14">
        <v>0.436</v>
      </c>
      <c r="P94" s="12">
        <f t="shared" ref="P94:P125" si="22">L94/O94</f>
        <v>643300.45871559635</v>
      </c>
      <c r="Q94" s="15">
        <f t="shared" ref="Q94:Q106" si="23">L94/O94/43560</f>
        <v>14.768146435160615</v>
      </c>
      <c r="R94" s="15">
        <f t="shared" ref="R94:R106" si="24">M94/O94/43560</f>
        <v>21.499976832545642</v>
      </c>
      <c r="S94" s="10" t="s">
        <v>24</v>
      </c>
    </row>
    <row r="95" spans="1:19" x14ac:dyDescent="0.25">
      <c r="A95" s="10" t="s">
        <v>2072</v>
      </c>
      <c r="B95" s="10" t="s">
        <v>2073</v>
      </c>
      <c r="C95" s="10" t="s">
        <v>1943</v>
      </c>
      <c r="D95" s="11">
        <v>45446</v>
      </c>
      <c r="E95" s="12">
        <v>1040000</v>
      </c>
      <c r="F95" s="10" t="s">
        <v>726</v>
      </c>
      <c r="G95" s="10" t="s">
        <v>23</v>
      </c>
      <c r="H95" s="12">
        <v>1040000</v>
      </c>
      <c r="I95" s="12">
        <v>574880</v>
      </c>
      <c r="J95" s="13">
        <f t="shared" si="20"/>
        <v>55.276923076923076</v>
      </c>
      <c r="K95" s="12">
        <v>1149752</v>
      </c>
      <c r="L95" s="12">
        <f>H95-693657</f>
        <v>346343</v>
      </c>
      <c r="M95" s="12">
        <v>456095</v>
      </c>
      <c r="N95" s="12">
        <f t="shared" si="21"/>
        <v>208000</v>
      </c>
      <c r="O95" s="14">
        <v>0.48699999999999999</v>
      </c>
      <c r="P95" s="12">
        <f t="shared" si="22"/>
        <v>711176.59137577005</v>
      </c>
      <c r="Q95" s="15">
        <f t="shared" si="23"/>
        <v>16.326368029746789</v>
      </c>
      <c r="R95" s="15">
        <f t="shared" si="24"/>
        <v>21.500000942786084</v>
      </c>
      <c r="S95" s="10" t="s">
        <v>24</v>
      </c>
    </row>
    <row r="96" spans="1:19" x14ac:dyDescent="0.25">
      <c r="A96" s="10" t="s">
        <v>2072</v>
      </c>
      <c r="B96" s="10" t="s">
        <v>2073</v>
      </c>
      <c r="C96" s="10" t="s">
        <v>1943</v>
      </c>
      <c r="D96" s="11">
        <v>45446</v>
      </c>
      <c r="E96" s="12">
        <v>1040000</v>
      </c>
      <c r="F96" s="10" t="s">
        <v>29</v>
      </c>
      <c r="G96" s="10" t="s">
        <v>23</v>
      </c>
      <c r="H96" s="12">
        <v>1040000</v>
      </c>
      <c r="I96" s="12">
        <v>574880</v>
      </c>
      <c r="J96" s="13">
        <f t="shared" si="20"/>
        <v>55.276923076923076</v>
      </c>
      <c r="K96" s="12">
        <v>1149752</v>
      </c>
      <c r="L96" s="12">
        <f>H96-693657</f>
        <v>346343</v>
      </c>
      <c r="M96" s="12">
        <v>456095</v>
      </c>
      <c r="N96" s="12">
        <f t="shared" si="21"/>
        <v>208000</v>
      </c>
      <c r="O96" s="14">
        <v>0.48699999999999999</v>
      </c>
      <c r="P96" s="12">
        <f t="shared" si="22"/>
        <v>711176.59137577005</v>
      </c>
      <c r="Q96" s="15">
        <f t="shared" si="23"/>
        <v>16.326368029746789</v>
      </c>
      <c r="R96" s="15">
        <f t="shared" si="24"/>
        <v>21.500000942786084</v>
      </c>
      <c r="S96" s="10" t="s">
        <v>24</v>
      </c>
    </row>
    <row r="97" spans="1:19" x14ac:dyDescent="0.25">
      <c r="A97" s="10" t="s">
        <v>2074</v>
      </c>
      <c r="B97" s="10" t="s">
        <v>2075</v>
      </c>
      <c r="C97" s="10" t="s">
        <v>1943</v>
      </c>
      <c r="D97" s="11">
        <v>45680</v>
      </c>
      <c r="E97" s="12">
        <v>810000</v>
      </c>
      <c r="F97" s="10" t="s">
        <v>22</v>
      </c>
      <c r="G97" s="10" t="s">
        <v>23</v>
      </c>
      <c r="H97" s="12">
        <v>810000</v>
      </c>
      <c r="I97" s="12">
        <v>428840</v>
      </c>
      <c r="J97" s="13">
        <f t="shared" si="20"/>
        <v>52.943209876543207</v>
      </c>
      <c r="K97" s="12">
        <v>857686</v>
      </c>
      <c r="L97" s="12">
        <f>H97-549564</f>
        <v>260436</v>
      </c>
      <c r="M97" s="12">
        <v>308122</v>
      </c>
      <c r="N97" s="12">
        <f t="shared" si="21"/>
        <v>162000</v>
      </c>
      <c r="O97" s="14">
        <v>0.32900000000000001</v>
      </c>
      <c r="P97" s="12">
        <f t="shared" si="22"/>
        <v>791598.78419452882</v>
      </c>
      <c r="Q97" s="15">
        <f t="shared" si="23"/>
        <v>18.172607534309662</v>
      </c>
      <c r="R97" s="15">
        <f t="shared" si="24"/>
        <v>21.500023724395096</v>
      </c>
      <c r="S97" s="10" t="s">
        <v>24</v>
      </c>
    </row>
    <row r="98" spans="1:19" x14ac:dyDescent="0.25">
      <c r="A98" s="10" t="s">
        <v>2076</v>
      </c>
      <c r="B98" s="10" t="s">
        <v>2077</v>
      </c>
      <c r="C98" s="10" t="s">
        <v>1943</v>
      </c>
      <c r="D98" s="11">
        <v>45559</v>
      </c>
      <c r="E98" s="12">
        <v>1210000</v>
      </c>
      <c r="F98" s="10" t="s">
        <v>22</v>
      </c>
      <c r="G98" s="10" t="s">
        <v>23</v>
      </c>
      <c r="H98" s="12">
        <v>1210000</v>
      </c>
      <c r="I98" s="12">
        <v>437990</v>
      </c>
      <c r="J98" s="13">
        <f t="shared" si="20"/>
        <v>36.197520661157021</v>
      </c>
      <c r="K98" s="12">
        <v>875978</v>
      </c>
      <c r="L98" s="12">
        <f>H98-640906</f>
        <v>569094</v>
      </c>
      <c r="M98" s="12">
        <v>235072</v>
      </c>
      <c r="N98" s="12">
        <f t="shared" si="21"/>
        <v>242000</v>
      </c>
      <c r="O98" s="14">
        <v>0.251</v>
      </c>
      <c r="P98" s="12">
        <f t="shared" si="22"/>
        <v>2267306.7729083668</v>
      </c>
      <c r="Q98" s="15">
        <f t="shared" si="23"/>
        <v>52.050201398263702</v>
      </c>
      <c r="R98" s="15">
        <f t="shared" si="24"/>
        <v>21.500042072298502</v>
      </c>
      <c r="S98" s="10" t="s">
        <v>24</v>
      </c>
    </row>
    <row r="99" spans="1:19" x14ac:dyDescent="0.25">
      <c r="A99" s="10" t="s">
        <v>2078</v>
      </c>
      <c r="B99" s="10" t="s">
        <v>2079</v>
      </c>
      <c r="C99" s="10" t="s">
        <v>1943</v>
      </c>
      <c r="D99" s="11">
        <v>45411</v>
      </c>
      <c r="E99" s="12">
        <v>1245000</v>
      </c>
      <c r="F99" s="10" t="s">
        <v>22</v>
      </c>
      <c r="G99" s="10" t="s">
        <v>23</v>
      </c>
      <c r="H99" s="12">
        <v>1245000</v>
      </c>
      <c r="I99" s="12">
        <v>554720</v>
      </c>
      <c r="J99" s="13">
        <f t="shared" si="20"/>
        <v>44.555823293172693</v>
      </c>
      <c r="K99" s="12">
        <v>1109434</v>
      </c>
      <c r="L99" s="12">
        <f>H99-866870</f>
        <v>378130</v>
      </c>
      <c r="M99" s="12">
        <v>242564</v>
      </c>
      <c r="N99" s="12">
        <f t="shared" si="21"/>
        <v>249000</v>
      </c>
      <c r="O99" s="14">
        <v>0.25900000000000001</v>
      </c>
      <c r="P99" s="12">
        <f t="shared" si="22"/>
        <v>1459961.3899613898</v>
      </c>
      <c r="Q99" s="15">
        <f t="shared" si="23"/>
        <v>33.516101697919879</v>
      </c>
      <c r="R99" s="15">
        <f t="shared" si="24"/>
        <v>21.500012409103316</v>
      </c>
      <c r="S99" s="10" t="s">
        <v>24</v>
      </c>
    </row>
    <row r="100" spans="1:19" x14ac:dyDescent="0.25">
      <c r="A100" s="10" t="s">
        <v>2080</v>
      </c>
      <c r="B100" s="10" t="s">
        <v>2081</v>
      </c>
      <c r="C100" s="10" t="s">
        <v>1943</v>
      </c>
      <c r="D100" s="11">
        <v>45495</v>
      </c>
      <c r="E100" s="12">
        <v>903500</v>
      </c>
      <c r="F100" s="10" t="s">
        <v>29</v>
      </c>
      <c r="G100" s="10" t="s">
        <v>23</v>
      </c>
      <c r="H100" s="12">
        <v>903500</v>
      </c>
      <c r="I100" s="12">
        <v>444470</v>
      </c>
      <c r="J100" s="13">
        <f t="shared" si="20"/>
        <v>49.194244604316545</v>
      </c>
      <c r="K100" s="12">
        <v>888939</v>
      </c>
      <c r="L100" s="12">
        <f>H100-571452</f>
        <v>332048</v>
      </c>
      <c r="M100" s="12">
        <v>317487</v>
      </c>
      <c r="N100" s="12">
        <f t="shared" si="21"/>
        <v>180700</v>
      </c>
      <c r="O100" s="14">
        <v>0.33900000000000002</v>
      </c>
      <c r="P100" s="12">
        <f t="shared" si="22"/>
        <v>979492.62536873145</v>
      </c>
      <c r="Q100" s="15">
        <f t="shared" si="23"/>
        <v>22.486056597078317</v>
      </c>
      <c r="R100" s="15">
        <f t="shared" si="24"/>
        <v>21.499995936842275</v>
      </c>
      <c r="S100" s="10" t="s">
        <v>24</v>
      </c>
    </row>
    <row r="101" spans="1:19" x14ac:dyDescent="0.25">
      <c r="A101" s="10" t="s">
        <v>2082</v>
      </c>
      <c r="B101" s="10" t="s">
        <v>2083</v>
      </c>
      <c r="C101" s="10" t="s">
        <v>1943</v>
      </c>
      <c r="D101" s="11">
        <v>45603</v>
      </c>
      <c r="E101" s="12">
        <v>912500</v>
      </c>
      <c r="F101" s="10" t="s">
        <v>22</v>
      </c>
      <c r="G101" s="10" t="s">
        <v>23</v>
      </c>
      <c r="H101" s="12">
        <v>912500</v>
      </c>
      <c r="I101" s="12">
        <v>481750</v>
      </c>
      <c r="J101" s="13">
        <f t="shared" si="20"/>
        <v>52.794520547945197</v>
      </c>
      <c r="K101" s="12">
        <v>963497</v>
      </c>
      <c r="L101" s="12">
        <f>H101-711568</f>
        <v>200932</v>
      </c>
      <c r="M101" s="12">
        <v>251929</v>
      </c>
      <c r="N101" s="12">
        <f t="shared" si="21"/>
        <v>182500</v>
      </c>
      <c r="O101" s="14">
        <v>0.26900000000000002</v>
      </c>
      <c r="P101" s="12">
        <f t="shared" si="22"/>
        <v>746959.10780669143</v>
      </c>
      <c r="Q101" s="15">
        <f t="shared" si="23"/>
        <v>17.147821574992918</v>
      </c>
      <c r="R101" s="15">
        <f t="shared" si="24"/>
        <v>21.499977811231613</v>
      </c>
      <c r="S101" s="10" t="s">
        <v>24</v>
      </c>
    </row>
    <row r="102" spans="1:19" x14ac:dyDescent="0.25">
      <c r="A102" s="10" t="s">
        <v>2084</v>
      </c>
      <c r="B102" s="10" t="s">
        <v>2085</v>
      </c>
      <c r="C102" s="10" t="s">
        <v>1943</v>
      </c>
      <c r="D102" s="11">
        <v>45429</v>
      </c>
      <c r="E102" s="12">
        <v>1150000</v>
      </c>
      <c r="F102" s="10" t="s">
        <v>22</v>
      </c>
      <c r="G102" s="10" t="s">
        <v>23</v>
      </c>
      <c r="H102" s="12">
        <v>1150000</v>
      </c>
      <c r="I102" s="12">
        <v>459870</v>
      </c>
      <c r="J102" s="13">
        <f t="shared" si="20"/>
        <v>39.988695652173909</v>
      </c>
      <c r="K102" s="12">
        <v>919748</v>
      </c>
      <c r="L102" s="12">
        <f>H102-654707</f>
        <v>495293</v>
      </c>
      <c r="M102" s="12">
        <v>265041</v>
      </c>
      <c r="N102" s="12">
        <f t="shared" si="21"/>
        <v>230000</v>
      </c>
      <c r="O102" s="14">
        <v>0.28299999999999997</v>
      </c>
      <c r="P102" s="12">
        <f t="shared" si="22"/>
        <v>1750151.9434628978</v>
      </c>
      <c r="Q102" s="15">
        <f t="shared" si="23"/>
        <v>40.177960134593611</v>
      </c>
      <c r="R102" s="15">
        <f t="shared" si="24"/>
        <v>21.500014601524402</v>
      </c>
      <c r="S102" s="10" t="s">
        <v>24</v>
      </c>
    </row>
    <row r="103" spans="1:19" x14ac:dyDescent="0.25">
      <c r="A103" s="10" t="s">
        <v>2086</v>
      </c>
      <c r="B103" s="10" t="s">
        <v>2087</v>
      </c>
      <c r="C103" s="10" t="s">
        <v>1943</v>
      </c>
      <c r="D103" s="11">
        <v>45496</v>
      </c>
      <c r="E103" s="12">
        <v>1250000</v>
      </c>
      <c r="F103" s="10" t="s">
        <v>22</v>
      </c>
      <c r="G103" s="10" t="s">
        <v>23</v>
      </c>
      <c r="H103" s="12">
        <v>1250000</v>
      </c>
      <c r="I103" s="12">
        <v>637020</v>
      </c>
      <c r="J103" s="13">
        <f t="shared" si="20"/>
        <v>50.961599999999997</v>
      </c>
      <c r="K103" s="12">
        <v>1274033</v>
      </c>
      <c r="L103" s="12">
        <f>H103-938752</f>
        <v>311248</v>
      </c>
      <c r="M103" s="12">
        <v>335281</v>
      </c>
      <c r="N103" s="12">
        <f t="shared" si="21"/>
        <v>250000</v>
      </c>
      <c r="O103" s="14">
        <v>0.35799999999999998</v>
      </c>
      <c r="P103" s="12">
        <f t="shared" si="22"/>
        <v>869407.82122905029</v>
      </c>
      <c r="Q103" s="15">
        <f t="shared" si="23"/>
        <v>19.958857236663231</v>
      </c>
      <c r="R103" s="15">
        <f t="shared" si="24"/>
        <v>21.499979479918537</v>
      </c>
      <c r="S103" s="10" t="s">
        <v>24</v>
      </c>
    </row>
    <row r="104" spans="1:19" x14ac:dyDescent="0.25">
      <c r="A104" s="10" t="s">
        <v>2088</v>
      </c>
      <c r="B104" s="10" t="s">
        <v>2089</v>
      </c>
      <c r="C104" s="10" t="s">
        <v>1943</v>
      </c>
      <c r="D104" s="11">
        <v>45048</v>
      </c>
      <c r="E104" s="12">
        <v>375000</v>
      </c>
      <c r="F104" s="10" t="s">
        <v>29</v>
      </c>
      <c r="G104" s="10" t="s">
        <v>23</v>
      </c>
      <c r="H104" s="12">
        <v>375000</v>
      </c>
      <c r="I104" s="12">
        <v>145470</v>
      </c>
      <c r="J104" s="13">
        <f t="shared" si="20"/>
        <v>38.792000000000002</v>
      </c>
      <c r="K104" s="12">
        <v>290942</v>
      </c>
      <c r="L104" s="12">
        <f>H104-93145</f>
        <v>281855</v>
      </c>
      <c r="M104" s="12">
        <v>197797</v>
      </c>
      <c r="N104" s="12">
        <f t="shared" si="21"/>
        <v>75000</v>
      </c>
      <c r="O104" s="14">
        <v>0.26400000000000001</v>
      </c>
      <c r="P104" s="12">
        <f t="shared" si="22"/>
        <v>1067632.5757575757</v>
      </c>
      <c r="Q104" s="15">
        <f t="shared" si="23"/>
        <v>24.509471436124326</v>
      </c>
      <c r="R104" s="15">
        <f t="shared" si="24"/>
        <v>17.199978434482567</v>
      </c>
      <c r="S104" s="10" t="s">
        <v>24</v>
      </c>
    </row>
    <row r="105" spans="1:19" x14ac:dyDescent="0.25">
      <c r="A105" s="10" t="s">
        <v>2090</v>
      </c>
      <c r="B105" s="10" t="s">
        <v>2091</v>
      </c>
      <c r="C105" s="10" t="s">
        <v>1943</v>
      </c>
      <c r="D105" s="11">
        <v>45523</v>
      </c>
      <c r="E105" s="12">
        <v>685000</v>
      </c>
      <c r="F105" s="10" t="s">
        <v>29</v>
      </c>
      <c r="G105" s="10" t="s">
        <v>23</v>
      </c>
      <c r="H105" s="12">
        <v>685000</v>
      </c>
      <c r="I105" s="12">
        <v>356930</v>
      </c>
      <c r="J105" s="13">
        <f t="shared" si="20"/>
        <v>52.106569343065686</v>
      </c>
      <c r="K105" s="12">
        <v>713859</v>
      </c>
      <c r="L105" s="12">
        <f>H105-407610</f>
        <v>277390</v>
      </c>
      <c r="M105" s="12">
        <v>306249</v>
      </c>
      <c r="N105" s="12">
        <f t="shared" si="21"/>
        <v>137000</v>
      </c>
      <c r="O105" s="14">
        <v>0.32700000000000001</v>
      </c>
      <c r="P105" s="12">
        <f t="shared" si="22"/>
        <v>848287.46177370031</v>
      </c>
      <c r="Q105" s="15">
        <f t="shared" si="23"/>
        <v>19.474000499855379</v>
      </c>
      <c r="R105" s="15">
        <f t="shared" si="24"/>
        <v>21.500029485851002</v>
      </c>
      <c r="S105" s="10" t="s">
        <v>24</v>
      </c>
    </row>
    <row r="106" spans="1:19" x14ac:dyDescent="0.25">
      <c r="A106" s="10" t="s">
        <v>2092</v>
      </c>
      <c r="B106" s="10" t="s">
        <v>2093</v>
      </c>
      <c r="C106" s="10" t="s">
        <v>1943</v>
      </c>
      <c r="D106" s="11">
        <v>45076</v>
      </c>
      <c r="E106" s="12">
        <v>850000</v>
      </c>
      <c r="F106" s="10" t="s">
        <v>22</v>
      </c>
      <c r="G106" s="10" t="s">
        <v>23</v>
      </c>
      <c r="H106" s="12">
        <v>850000</v>
      </c>
      <c r="I106" s="12">
        <v>369310</v>
      </c>
      <c r="J106" s="13">
        <f t="shared" si="20"/>
        <v>43.448235294117652</v>
      </c>
      <c r="K106" s="12">
        <v>738625</v>
      </c>
      <c r="L106" s="12">
        <f>H106-477414</f>
        <v>372586</v>
      </c>
      <c r="M106" s="12">
        <v>261211</v>
      </c>
      <c r="N106" s="12">
        <f t="shared" si="21"/>
        <v>170000</v>
      </c>
      <c r="O106" s="14">
        <v>0.27900000000000003</v>
      </c>
      <c r="P106" s="12">
        <f t="shared" si="22"/>
        <v>1335433.6917562722</v>
      </c>
      <c r="Q106" s="15">
        <f t="shared" si="23"/>
        <v>30.657339112862079</v>
      </c>
      <c r="R106" s="15">
        <f t="shared" si="24"/>
        <v>21.49311623896179</v>
      </c>
      <c r="S106" s="10" t="s">
        <v>24</v>
      </c>
    </row>
    <row r="107" spans="1:19" ht="15.75" thickBot="1" x14ac:dyDescent="0.3">
      <c r="A107" s="16"/>
      <c r="B107" s="16"/>
      <c r="C107" s="16"/>
      <c r="D107" s="17"/>
      <c r="E107" s="18"/>
      <c r="F107" s="16"/>
      <c r="G107" s="16"/>
      <c r="H107" s="18"/>
      <c r="I107" s="18"/>
      <c r="J107" s="19"/>
      <c r="K107" s="18"/>
      <c r="L107" s="18">
        <f>AVERAGE(L30:L106)</f>
        <v>483423.18181818182</v>
      </c>
      <c r="M107" s="18">
        <f>AVERAGE(M30:M106)</f>
        <v>386857.29870129871</v>
      </c>
      <c r="N107" s="18">
        <f>AVERAGE(N30:N106)</f>
        <v>272565.45454545453</v>
      </c>
      <c r="O107" s="20"/>
      <c r="P107" s="18"/>
      <c r="Q107" s="21">
        <f>AVERAGE(Q30:Q106)</f>
        <v>25.631535189569217</v>
      </c>
      <c r="R107" s="21">
        <f>AVERAGE(R30:R106)</f>
        <v>20.690420886214277</v>
      </c>
      <c r="S107" s="16"/>
    </row>
    <row r="108" spans="1:19" ht="15.75" thickTop="1" x14ac:dyDescent="0.25">
      <c r="A108" s="10"/>
      <c r="B108" s="10"/>
      <c r="C108" s="10"/>
      <c r="D108" s="11"/>
      <c r="E108" s="12"/>
      <c r="F108" s="10"/>
      <c r="G108" s="10"/>
      <c r="H108" s="12"/>
      <c r="I108" s="12"/>
      <c r="J108" s="13"/>
      <c r="K108" s="12"/>
      <c r="L108" s="12"/>
      <c r="M108" s="12"/>
      <c r="N108" s="12"/>
      <c r="O108" s="14"/>
      <c r="P108" s="12"/>
      <c r="Q108" s="15"/>
      <c r="R108" s="15"/>
      <c r="S108" s="10"/>
    </row>
    <row r="109" spans="1:19" x14ac:dyDescent="0.25">
      <c r="A109" s="10"/>
      <c r="B109" s="10"/>
      <c r="C109" s="10"/>
      <c r="D109" s="11"/>
      <c r="E109" s="12"/>
      <c r="F109" s="10"/>
      <c r="G109" s="10"/>
      <c r="H109" s="12"/>
      <c r="I109" s="12"/>
      <c r="J109" s="13"/>
      <c r="K109" s="12"/>
      <c r="L109" s="12"/>
      <c r="M109" s="12"/>
      <c r="N109" s="12"/>
      <c r="O109" s="14"/>
      <c r="P109" s="12"/>
      <c r="Q109" s="15"/>
      <c r="R109" s="15"/>
      <c r="S109" s="10"/>
    </row>
    <row r="110" spans="1:19" x14ac:dyDescent="0.25">
      <c r="A110" s="10" t="s">
        <v>2094</v>
      </c>
      <c r="B110" s="10" t="s">
        <v>2095</v>
      </c>
      <c r="C110" s="10" t="s">
        <v>2096</v>
      </c>
      <c r="D110" s="11">
        <v>45569</v>
      </c>
      <c r="E110" s="12">
        <v>4500000</v>
      </c>
      <c r="F110" s="10" t="s">
        <v>22</v>
      </c>
      <c r="G110" s="10" t="s">
        <v>23</v>
      </c>
      <c r="H110" s="12">
        <v>4500000</v>
      </c>
      <c r="I110" s="12">
        <v>1944590</v>
      </c>
      <c r="J110" s="13">
        <f>I110/H110*100</f>
        <v>43.213111111111111</v>
      </c>
      <c r="K110" s="12">
        <v>3889174</v>
      </c>
      <c r="L110" s="12">
        <f>H110-3463375</f>
        <v>1036625</v>
      </c>
      <c r="M110" s="12">
        <v>425799</v>
      </c>
      <c r="N110" s="12">
        <f>E110*0.2</f>
        <v>900000</v>
      </c>
      <c r="O110" s="14">
        <v>1.72</v>
      </c>
      <c r="P110" s="12">
        <f>L110/O110</f>
        <v>602688.95348837215</v>
      </c>
      <c r="Q110" s="15">
        <f>L110/O110/43560</f>
        <v>13.835834561257396</v>
      </c>
      <c r="R110" s="15">
        <f>M110/O110/43560</f>
        <v>5.683139534883721</v>
      </c>
      <c r="S110" s="10" t="s">
        <v>24</v>
      </c>
    </row>
    <row r="111" spans="1:19" ht="15.75" thickBot="1" x14ac:dyDescent="0.3">
      <c r="A111" s="16"/>
      <c r="B111" s="16"/>
      <c r="C111" s="16"/>
      <c r="D111" s="17"/>
      <c r="E111" s="18"/>
      <c r="F111" s="16"/>
      <c r="G111" s="16"/>
      <c r="H111" s="18"/>
      <c r="I111" s="18"/>
      <c r="J111" s="19"/>
      <c r="K111" s="18"/>
      <c r="L111" s="18">
        <f>AVERAGE(L110)</f>
        <v>1036625</v>
      </c>
      <c r="M111" s="18">
        <f>AVERAGE(M110)</f>
        <v>425799</v>
      </c>
      <c r="N111" s="18">
        <f>AVERAGE(N110)</f>
        <v>900000</v>
      </c>
      <c r="O111" s="20"/>
      <c r="P111" s="18"/>
      <c r="Q111" s="21">
        <f>AVERAGE(Q110)</f>
        <v>13.835834561257396</v>
      </c>
      <c r="R111" s="21">
        <f>AVERAGE(R110)</f>
        <v>5.683139534883721</v>
      </c>
      <c r="S111" s="16"/>
    </row>
    <row r="112" spans="1:19" ht="15.75" thickTop="1" x14ac:dyDescent="0.25"/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F2116-10E6-4968-BF9F-622A4E5366C8}">
  <dimension ref="A1:S78"/>
  <sheetViews>
    <sheetView workbookViewId="0">
      <selection activeCell="A6" sqref="A6:XFD9"/>
    </sheetView>
  </sheetViews>
  <sheetFormatPr defaultRowHeight="15" x14ac:dyDescent="0.25"/>
  <cols>
    <col min="1" max="1" width="12.42578125" bestFit="1" customWidth="1"/>
    <col min="2" max="2" width="16.7109375" bestFit="1" customWidth="1"/>
    <col min="3" max="3" width="12.5703125" bestFit="1" customWidth="1"/>
    <col min="7" max="7" width="13.140625" bestFit="1" customWidth="1"/>
    <col min="13" max="13" width="10.8554687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180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2097</v>
      </c>
      <c r="B2" s="10" t="s">
        <v>2098</v>
      </c>
      <c r="C2" s="10" t="s">
        <v>2099</v>
      </c>
      <c r="D2" s="11">
        <v>45205</v>
      </c>
      <c r="E2" s="12">
        <v>710000</v>
      </c>
      <c r="F2" s="10" t="s">
        <v>29</v>
      </c>
      <c r="G2" s="10" t="s">
        <v>23</v>
      </c>
      <c r="H2" s="12">
        <v>710000</v>
      </c>
      <c r="I2" s="12">
        <v>400790</v>
      </c>
      <c r="J2" s="13">
        <f>I2/H2*100</f>
        <v>56.449295774647887</v>
      </c>
      <c r="K2" s="12">
        <v>801578</v>
      </c>
      <c r="L2" s="12">
        <f>H2-628471</f>
        <v>81529</v>
      </c>
      <c r="M2" s="12">
        <v>173107</v>
      </c>
      <c r="N2" s="12">
        <f>E2*0.2</f>
        <v>142000</v>
      </c>
      <c r="O2" s="14">
        <v>0.56399999999999995</v>
      </c>
      <c r="P2" s="12">
        <f>L2/O2</f>
        <v>144554.96453900711</v>
      </c>
      <c r="Q2" s="15">
        <f>L2/O2/43560</f>
        <v>3.3185253567265178</v>
      </c>
      <c r="R2" s="15">
        <f>M2/O2/43560</f>
        <v>7.0460813811877641</v>
      </c>
      <c r="S2" s="10" t="s">
        <v>24</v>
      </c>
    </row>
    <row r="3" spans="1:19" ht="15.75" thickBot="1" x14ac:dyDescent="0.3">
      <c r="A3" s="16"/>
      <c r="B3" s="16"/>
      <c r="C3" s="16"/>
      <c r="D3" s="17"/>
      <c r="E3" s="18"/>
      <c r="F3" s="16"/>
      <c r="G3" s="16"/>
      <c r="H3" s="18"/>
      <c r="I3" s="18"/>
      <c r="J3" s="19"/>
      <c r="K3" s="18"/>
      <c r="L3" s="18">
        <f>AVERAGE(L2)</f>
        <v>81529</v>
      </c>
      <c r="M3" s="18">
        <f>AVERAGE(M2)</f>
        <v>173107</v>
      </c>
      <c r="N3" s="18">
        <f>AVERAGE(N2)</f>
        <v>142000</v>
      </c>
      <c r="O3" s="20"/>
      <c r="P3" s="18"/>
      <c r="Q3" s="21">
        <f>AVERAGE(Q2)</f>
        <v>3.3185253567265178</v>
      </c>
      <c r="R3" s="21">
        <f>AVERAGE(R2)</f>
        <v>7.0460813811877641</v>
      </c>
      <c r="S3" s="16"/>
    </row>
    <row r="4" spans="1:19" ht="15.75" thickTop="1" x14ac:dyDescent="0.25">
      <c r="A4" s="10"/>
      <c r="B4" s="10"/>
      <c r="C4" s="10"/>
      <c r="D4" s="11"/>
      <c r="E4" s="12"/>
      <c r="F4" s="10"/>
      <c r="G4" s="10"/>
      <c r="H4" s="12"/>
      <c r="I4" s="12"/>
      <c r="J4" s="13"/>
      <c r="K4" s="12"/>
      <c r="L4" s="12"/>
      <c r="M4" s="12"/>
      <c r="N4" s="12"/>
      <c r="O4" s="14"/>
      <c r="P4" s="12"/>
      <c r="Q4" s="15"/>
      <c r="R4" s="15"/>
      <c r="S4" s="10"/>
    </row>
    <row r="5" spans="1:19" x14ac:dyDescent="0.25">
      <c r="A5" s="10"/>
      <c r="B5" s="10"/>
      <c r="C5" s="10"/>
      <c r="D5" s="11"/>
      <c r="E5" s="12"/>
      <c r="F5" s="10"/>
      <c r="G5" s="10"/>
      <c r="H5" s="12"/>
      <c r="I5" s="12"/>
      <c r="J5" s="13"/>
      <c r="K5" s="12"/>
      <c r="L5" s="12"/>
      <c r="M5" s="12"/>
      <c r="N5" s="12"/>
      <c r="O5" s="14"/>
      <c r="P5" s="12"/>
      <c r="Q5" s="15"/>
      <c r="R5" s="15"/>
      <c r="S5" s="10"/>
    </row>
    <row r="6" spans="1:19" x14ac:dyDescent="0.25">
      <c r="A6" s="10" t="s">
        <v>2100</v>
      </c>
      <c r="B6" s="10" t="s">
        <v>2101</v>
      </c>
      <c r="C6" s="10" t="s">
        <v>2102</v>
      </c>
      <c r="D6" s="11">
        <v>45216</v>
      </c>
      <c r="E6" s="12">
        <v>840000</v>
      </c>
      <c r="F6" s="10" t="s">
        <v>22</v>
      </c>
      <c r="G6" s="10" t="s">
        <v>23</v>
      </c>
      <c r="H6" s="12">
        <v>840000</v>
      </c>
      <c r="I6" s="12">
        <v>384350</v>
      </c>
      <c r="J6" s="13">
        <f t="shared" ref="J6:J18" si="0">I6/H6*100</f>
        <v>45.75595238095238</v>
      </c>
      <c r="K6" s="12">
        <v>768700</v>
      </c>
      <c r="L6" s="12">
        <f>H6-536699</f>
        <v>303301</v>
      </c>
      <c r="M6" s="12">
        <v>232001</v>
      </c>
      <c r="N6" s="12">
        <f t="shared" ref="N6:N18" si="1">E6*0.2</f>
        <v>168000</v>
      </c>
      <c r="O6" s="14">
        <v>0.69199999999999995</v>
      </c>
      <c r="P6" s="12">
        <f t="shared" ref="P6:P18" si="2">L6/O6</f>
        <v>438296.24277456652</v>
      </c>
      <c r="Q6" s="15">
        <f t="shared" ref="Q6:Q18" si="3">L6/O6/43560</f>
        <v>10.061897217046981</v>
      </c>
      <c r="R6" s="15">
        <f t="shared" ref="R6:R18" si="4">M6/O6/43560</f>
        <v>7.6965463887429211</v>
      </c>
      <c r="S6" s="10" t="s">
        <v>24</v>
      </c>
    </row>
    <row r="7" spans="1:19" x14ac:dyDescent="0.25">
      <c r="A7" s="10" t="s">
        <v>2103</v>
      </c>
      <c r="B7" s="10" t="s">
        <v>2104</v>
      </c>
      <c r="C7" s="10" t="s">
        <v>2102</v>
      </c>
      <c r="D7" s="11">
        <v>45593</v>
      </c>
      <c r="E7" s="12">
        <v>595000</v>
      </c>
      <c r="F7" s="10" t="s">
        <v>22</v>
      </c>
      <c r="G7" s="10" t="s">
        <v>23</v>
      </c>
      <c r="H7" s="12">
        <v>595000</v>
      </c>
      <c r="I7" s="12">
        <v>318780</v>
      </c>
      <c r="J7" s="13">
        <f t="shared" si="0"/>
        <v>53.576470588235296</v>
      </c>
      <c r="K7" s="12">
        <v>637565</v>
      </c>
      <c r="L7" s="12">
        <f>H7-441828</f>
        <v>153172</v>
      </c>
      <c r="M7" s="12">
        <v>195737</v>
      </c>
      <c r="N7" s="12">
        <f t="shared" si="1"/>
        <v>119000</v>
      </c>
      <c r="O7" s="14">
        <v>0.47299999999999998</v>
      </c>
      <c r="P7" s="12">
        <f t="shared" si="2"/>
        <v>323830.86680761102</v>
      </c>
      <c r="Q7" s="15">
        <f t="shared" si="3"/>
        <v>7.4341337650966715</v>
      </c>
      <c r="R7" s="15">
        <f t="shared" si="4"/>
        <v>9.5000067948367004</v>
      </c>
      <c r="S7" s="10" t="s">
        <v>24</v>
      </c>
    </row>
    <row r="8" spans="1:19" x14ac:dyDescent="0.25">
      <c r="A8" s="10" t="s">
        <v>2105</v>
      </c>
      <c r="B8" s="10" t="s">
        <v>2106</v>
      </c>
      <c r="C8" s="10" t="s">
        <v>2102</v>
      </c>
      <c r="D8" s="11">
        <v>45449</v>
      </c>
      <c r="E8" s="12">
        <v>640000</v>
      </c>
      <c r="F8" s="10" t="s">
        <v>29</v>
      </c>
      <c r="G8" s="10" t="s">
        <v>23</v>
      </c>
      <c r="H8" s="12">
        <v>640000</v>
      </c>
      <c r="I8" s="12">
        <v>315480</v>
      </c>
      <c r="J8" s="13">
        <f t="shared" si="0"/>
        <v>49.293749999999996</v>
      </c>
      <c r="K8" s="12">
        <v>630951</v>
      </c>
      <c r="L8" s="12">
        <f>H8-405615</f>
        <v>234385</v>
      </c>
      <c r="M8" s="12">
        <v>225336</v>
      </c>
      <c r="N8" s="12">
        <f t="shared" si="1"/>
        <v>128000</v>
      </c>
      <c r="O8" s="14">
        <v>0.64100000000000001</v>
      </c>
      <c r="P8" s="12">
        <f t="shared" si="2"/>
        <v>365655.22620904836</v>
      </c>
      <c r="Q8" s="15">
        <f t="shared" si="3"/>
        <v>8.3942889396016618</v>
      </c>
      <c r="R8" s="15">
        <f t="shared" si="4"/>
        <v>8.0702071058048936</v>
      </c>
      <c r="S8" s="10" t="s">
        <v>24</v>
      </c>
    </row>
    <row r="9" spans="1:19" x14ac:dyDescent="0.25">
      <c r="A9" s="10" t="s">
        <v>2107</v>
      </c>
      <c r="B9" s="10" t="s">
        <v>2108</v>
      </c>
      <c r="C9" s="10" t="s">
        <v>2102</v>
      </c>
      <c r="D9" s="11">
        <v>45113</v>
      </c>
      <c r="E9" s="12">
        <v>920000</v>
      </c>
      <c r="F9" s="10" t="s">
        <v>22</v>
      </c>
      <c r="G9" s="10" t="s">
        <v>23</v>
      </c>
      <c r="H9" s="12">
        <v>920000</v>
      </c>
      <c r="I9" s="12">
        <v>483690</v>
      </c>
      <c r="J9" s="13">
        <f t="shared" si="0"/>
        <v>52.575000000000003</v>
      </c>
      <c r="K9" s="12">
        <v>967385</v>
      </c>
      <c r="L9" s="12">
        <f>H9-745839</f>
        <v>174161</v>
      </c>
      <c r="M9" s="12">
        <v>221546</v>
      </c>
      <c r="N9" s="12">
        <f t="shared" si="1"/>
        <v>184000</v>
      </c>
      <c r="O9" s="14">
        <v>0.61199999999999999</v>
      </c>
      <c r="P9" s="12">
        <f t="shared" si="2"/>
        <v>284576.79738562094</v>
      </c>
      <c r="Q9" s="15">
        <f t="shared" si="3"/>
        <v>6.5329843293301408</v>
      </c>
      <c r="R9" s="15">
        <f t="shared" si="4"/>
        <v>8.3104515145513371</v>
      </c>
      <c r="S9" s="10" t="s">
        <v>24</v>
      </c>
    </row>
    <row r="10" spans="1:19" x14ac:dyDescent="0.25">
      <c r="A10" s="10" t="s">
        <v>2109</v>
      </c>
      <c r="B10" s="10" t="s">
        <v>2110</v>
      </c>
      <c r="C10" s="10" t="s">
        <v>2102</v>
      </c>
      <c r="D10" s="11">
        <v>45252</v>
      </c>
      <c r="E10" s="12">
        <v>525000</v>
      </c>
      <c r="F10" s="10" t="s">
        <v>29</v>
      </c>
      <c r="G10" s="10" t="s">
        <v>23</v>
      </c>
      <c r="H10" s="12">
        <v>525000</v>
      </c>
      <c r="I10" s="12">
        <v>292600</v>
      </c>
      <c r="J10" s="13">
        <f t="shared" si="0"/>
        <v>55.733333333333334</v>
      </c>
      <c r="K10" s="12">
        <v>585199</v>
      </c>
      <c r="L10" s="12">
        <f>H10-428361</f>
        <v>96639</v>
      </c>
      <c r="M10" s="12">
        <v>156838</v>
      </c>
      <c r="N10" s="12">
        <f t="shared" si="1"/>
        <v>105000</v>
      </c>
      <c r="O10" s="14">
        <v>0.379</v>
      </c>
      <c r="P10" s="12">
        <f t="shared" si="2"/>
        <v>254984.16886543535</v>
      </c>
      <c r="Q10" s="15">
        <f t="shared" si="3"/>
        <v>5.8536310575168811</v>
      </c>
      <c r="R10" s="15">
        <f t="shared" si="4"/>
        <v>9.5000133258708459</v>
      </c>
      <c r="S10" s="10" t="s">
        <v>24</v>
      </c>
    </row>
    <row r="11" spans="1:19" x14ac:dyDescent="0.25">
      <c r="A11" s="10" t="s">
        <v>2111</v>
      </c>
      <c r="B11" s="10" t="s">
        <v>2112</v>
      </c>
      <c r="C11" s="10" t="s">
        <v>2102</v>
      </c>
      <c r="D11" s="11">
        <v>45065</v>
      </c>
      <c r="E11" s="12">
        <v>970000</v>
      </c>
      <c r="F11" s="10" t="s">
        <v>22</v>
      </c>
      <c r="G11" s="10" t="s">
        <v>23</v>
      </c>
      <c r="H11" s="12">
        <v>970000</v>
      </c>
      <c r="I11" s="12">
        <v>368170</v>
      </c>
      <c r="J11" s="13">
        <f t="shared" si="0"/>
        <v>37.955670103092778</v>
      </c>
      <c r="K11" s="12">
        <v>736349</v>
      </c>
      <c r="L11" s="12">
        <f>H11-601609</f>
        <v>368391</v>
      </c>
      <c r="M11" s="12">
        <v>134740</v>
      </c>
      <c r="N11" s="12">
        <f t="shared" si="1"/>
        <v>194000</v>
      </c>
      <c r="O11" s="14">
        <v>0.40699999999999997</v>
      </c>
      <c r="P11" s="12">
        <f t="shared" si="2"/>
        <v>905137.59213759215</v>
      </c>
      <c r="Q11" s="15">
        <f t="shared" si="3"/>
        <v>20.779099911331315</v>
      </c>
      <c r="R11" s="15">
        <f t="shared" si="4"/>
        <v>7.6000117322431375</v>
      </c>
      <c r="S11" s="10" t="s">
        <v>24</v>
      </c>
    </row>
    <row r="12" spans="1:19" x14ac:dyDescent="0.25">
      <c r="A12" s="10" t="s">
        <v>2113</v>
      </c>
      <c r="B12" s="10" t="s">
        <v>2114</v>
      </c>
      <c r="C12" s="10" t="s">
        <v>2102</v>
      </c>
      <c r="D12" s="11">
        <v>45169</v>
      </c>
      <c r="E12" s="12">
        <v>569000</v>
      </c>
      <c r="F12" s="10" t="s">
        <v>22</v>
      </c>
      <c r="G12" s="10" t="s">
        <v>23</v>
      </c>
      <c r="H12" s="12">
        <v>569000</v>
      </c>
      <c r="I12" s="12">
        <v>246680</v>
      </c>
      <c r="J12" s="13">
        <f t="shared" si="0"/>
        <v>43.353251318101933</v>
      </c>
      <c r="K12" s="12">
        <v>493353</v>
      </c>
      <c r="L12" s="12">
        <f>H12-348433</f>
        <v>220567</v>
      </c>
      <c r="M12" s="12">
        <v>144920</v>
      </c>
      <c r="N12" s="12">
        <f t="shared" si="1"/>
        <v>113800</v>
      </c>
      <c r="O12" s="14">
        <v>0.41199999999999998</v>
      </c>
      <c r="P12" s="12">
        <f t="shared" si="2"/>
        <v>535356.79611650493</v>
      </c>
      <c r="Q12" s="15">
        <f t="shared" si="3"/>
        <v>12.29010092094823</v>
      </c>
      <c r="R12" s="15">
        <f t="shared" si="4"/>
        <v>8.0750131500352165</v>
      </c>
      <c r="S12" s="10" t="s">
        <v>24</v>
      </c>
    </row>
    <row r="13" spans="1:19" x14ac:dyDescent="0.25">
      <c r="A13" s="10" t="s">
        <v>2115</v>
      </c>
      <c r="B13" s="10" t="s">
        <v>2116</v>
      </c>
      <c r="C13" s="10" t="s">
        <v>2102</v>
      </c>
      <c r="D13" s="11">
        <v>45352</v>
      </c>
      <c r="E13" s="12">
        <v>470000</v>
      </c>
      <c r="F13" s="10" t="s">
        <v>22</v>
      </c>
      <c r="G13" s="10" t="s">
        <v>23</v>
      </c>
      <c r="H13" s="12">
        <v>470000</v>
      </c>
      <c r="I13" s="12">
        <v>249960</v>
      </c>
      <c r="J13" s="13">
        <f t="shared" si="0"/>
        <v>53.182978723404247</v>
      </c>
      <c r="K13" s="12">
        <v>499924</v>
      </c>
      <c r="L13" s="12">
        <f>H13-367667</f>
        <v>102333</v>
      </c>
      <c r="M13" s="12">
        <v>132257</v>
      </c>
      <c r="N13" s="12">
        <f t="shared" si="1"/>
        <v>94000</v>
      </c>
      <c r="O13" s="14">
        <v>0.376</v>
      </c>
      <c r="P13" s="12">
        <f t="shared" si="2"/>
        <v>272162.23404255317</v>
      </c>
      <c r="Q13" s="15">
        <f t="shared" si="3"/>
        <v>6.2479851708575112</v>
      </c>
      <c r="R13" s="15">
        <f t="shared" si="4"/>
        <v>8.075007815094855</v>
      </c>
      <c r="S13" s="10" t="s">
        <v>24</v>
      </c>
    </row>
    <row r="14" spans="1:19" x14ac:dyDescent="0.25">
      <c r="A14" s="10" t="s">
        <v>2117</v>
      </c>
      <c r="B14" s="10" t="s">
        <v>2118</v>
      </c>
      <c r="C14" s="10" t="s">
        <v>2102</v>
      </c>
      <c r="D14" s="11">
        <v>45485</v>
      </c>
      <c r="E14" s="12">
        <v>725000</v>
      </c>
      <c r="F14" s="10" t="s">
        <v>29</v>
      </c>
      <c r="G14" s="10" t="s">
        <v>23</v>
      </c>
      <c r="H14" s="12">
        <v>725000</v>
      </c>
      <c r="I14" s="12">
        <v>236770</v>
      </c>
      <c r="J14" s="13">
        <f t="shared" si="0"/>
        <v>32.657931034482758</v>
      </c>
      <c r="K14" s="12">
        <v>473535</v>
      </c>
      <c r="L14" s="12">
        <f>H14-339168</f>
        <v>385832</v>
      </c>
      <c r="M14" s="12">
        <v>134367</v>
      </c>
      <c r="N14" s="12">
        <f t="shared" si="1"/>
        <v>145000</v>
      </c>
      <c r="O14" s="14">
        <v>0.38200000000000001</v>
      </c>
      <c r="P14" s="12">
        <f t="shared" si="2"/>
        <v>1010031.4136125654</v>
      </c>
      <c r="Q14" s="15">
        <f t="shared" si="3"/>
        <v>23.18713070735917</v>
      </c>
      <c r="R14" s="15">
        <f t="shared" si="4"/>
        <v>8.0749787258592587</v>
      </c>
      <c r="S14" s="10" t="s">
        <v>24</v>
      </c>
    </row>
    <row r="15" spans="1:19" x14ac:dyDescent="0.25">
      <c r="A15" s="10" t="s">
        <v>2119</v>
      </c>
      <c r="B15" s="10" t="s">
        <v>2120</v>
      </c>
      <c r="C15" s="10" t="s">
        <v>2102</v>
      </c>
      <c r="D15" s="11">
        <v>45117</v>
      </c>
      <c r="E15" s="12">
        <v>610000</v>
      </c>
      <c r="F15" s="10" t="s">
        <v>29</v>
      </c>
      <c r="G15" s="10" t="s">
        <v>23</v>
      </c>
      <c r="H15" s="12">
        <v>610000</v>
      </c>
      <c r="I15" s="12">
        <v>315440</v>
      </c>
      <c r="J15" s="13">
        <f t="shared" si="0"/>
        <v>51.711475409836062</v>
      </c>
      <c r="K15" s="12">
        <v>630877</v>
      </c>
      <c r="L15" s="12">
        <f>H15-422530</f>
        <v>187470</v>
      </c>
      <c r="M15" s="12">
        <v>208347</v>
      </c>
      <c r="N15" s="12">
        <f t="shared" si="1"/>
        <v>122000</v>
      </c>
      <c r="O15" s="14">
        <v>0.51100000000000001</v>
      </c>
      <c r="P15" s="12">
        <f t="shared" si="2"/>
        <v>366868.8845401174</v>
      </c>
      <c r="Q15" s="15">
        <f t="shared" si="3"/>
        <v>8.4221507011046235</v>
      </c>
      <c r="R15" s="15">
        <f t="shared" si="4"/>
        <v>9.3600567137304367</v>
      </c>
      <c r="S15" s="10" t="s">
        <v>24</v>
      </c>
    </row>
    <row r="16" spans="1:19" x14ac:dyDescent="0.25">
      <c r="A16" s="10" t="s">
        <v>2119</v>
      </c>
      <c r="B16" s="10" t="s">
        <v>2120</v>
      </c>
      <c r="C16" s="10" t="s">
        <v>2102</v>
      </c>
      <c r="D16" s="11">
        <v>45160</v>
      </c>
      <c r="E16" s="12">
        <v>610000</v>
      </c>
      <c r="F16" s="10" t="s">
        <v>29</v>
      </c>
      <c r="G16" s="10" t="s">
        <v>23</v>
      </c>
      <c r="H16" s="12">
        <v>610000</v>
      </c>
      <c r="I16" s="12">
        <v>315440</v>
      </c>
      <c r="J16" s="13">
        <f t="shared" si="0"/>
        <v>51.711475409836062</v>
      </c>
      <c r="K16" s="12">
        <v>630877</v>
      </c>
      <c r="L16" s="12">
        <f>H16-422530</f>
        <v>187470</v>
      </c>
      <c r="M16" s="12">
        <v>208347</v>
      </c>
      <c r="N16" s="12">
        <f t="shared" si="1"/>
        <v>122000</v>
      </c>
      <c r="O16" s="14">
        <v>0.51100000000000001</v>
      </c>
      <c r="P16" s="12">
        <f t="shared" si="2"/>
        <v>366868.8845401174</v>
      </c>
      <c r="Q16" s="15">
        <f t="shared" si="3"/>
        <v>8.4221507011046235</v>
      </c>
      <c r="R16" s="15">
        <f t="shared" si="4"/>
        <v>9.3600567137304367</v>
      </c>
      <c r="S16" s="10" t="s">
        <v>24</v>
      </c>
    </row>
    <row r="17" spans="1:19" x14ac:dyDescent="0.25">
      <c r="A17" s="10" t="s">
        <v>2121</v>
      </c>
      <c r="B17" s="10" t="s">
        <v>2122</v>
      </c>
      <c r="C17" s="10" t="s">
        <v>2102</v>
      </c>
      <c r="D17" s="11">
        <v>45566</v>
      </c>
      <c r="E17" s="12">
        <v>750500</v>
      </c>
      <c r="F17" s="10" t="s">
        <v>29</v>
      </c>
      <c r="G17" s="10" t="s">
        <v>23</v>
      </c>
      <c r="H17" s="12">
        <v>750500</v>
      </c>
      <c r="I17" s="12">
        <v>327080</v>
      </c>
      <c r="J17" s="13">
        <f t="shared" si="0"/>
        <v>43.581612258494332</v>
      </c>
      <c r="K17" s="12">
        <v>654160</v>
      </c>
      <c r="L17" s="12">
        <f>H17-445028</f>
        <v>305472</v>
      </c>
      <c r="M17" s="12">
        <v>209132</v>
      </c>
      <c r="N17" s="12">
        <f t="shared" si="1"/>
        <v>150100</v>
      </c>
      <c r="O17" s="14">
        <v>0.51700000000000002</v>
      </c>
      <c r="P17" s="12">
        <f t="shared" si="2"/>
        <v>590854.93230174074</v>
      </c>
      <c r="Q17" s="15">
        <f t="shared" si="3"/>
        <v>13.56416281684437</v>
      </c>
      <c r="R17" s="15">
        <f t="shared" si="4"/>
        <v>9.2862864623019359</v>
      </c>
      <c r="S17" s="10" t="s">
        <v>24</v>
      </c>
    </row>
    <row r="18" spans="1:19" x14ac:dyDescent="0.25">
      <c r="A18" s="10" t="s">
        <v>2123</v>
      </c>
      <c r="B18" s="10" t="s">
        <v>2124</v>
      </c>
      <c r="C18" s="10" t="s">
        <v>2102</v>
      </c>
      <c r="D18" s="11">
        <v>45440</v>
      </c>
      <c r="E18" s="12">
        <v>711000</v>
      </c>
      <c r="F18" s="10" t="s">
        <v>22</v>
      </c>
      <c r="G18" s="10" t="s">
        <v>23</v>
      </c>
      <c r="H18" s="12">
        <v>711000</v>
      </c>
      <c r="I18" s="12">
        <v>309850</v>
      </c>
      <c r="J18" s="13">
        <f t="shared" si="0"/>
        <v>43.579465541490862</v>
      </c>
      <c r="K18" s="12">
        <v>619709</v>
      </c>
      <c r="L18" s="12">
        <f>H18-410577</f>
        <v>300423</v>
      </c>
      <c r="M18" s="12">
        <v>209132</v>
      </c>
      <c r="N18" s="12">
        <f t="shared" si="1"/>
        <v>142200</v>
      </c>
      <c r="O18" s="14">
        <v>0.51700000000000002</v>
      </c>
      <c r="P18" s="12">
        <f t="shared" si="2"/>
        <v>581088.97485493228</v>
      </c>
      <c r="Q18" s="15">
        <f t="shared" si="3"/>
        <v>13.339967283171081</v>
      </c>
      <c r="R18" s="15">
        <f t="shared" si="4"/>
        <v>9.2862864623019359</v>
      </c>
      <c r="S18" s="10" t="s">
        <v>24</v>
      </c>
    </row>
    <row r="19" spans="1:19" ht="15.75" thickBot="1" x14ac:dyDescent="0.3">
      <c r="A19" s="16"/>
      <c r="B19" s="16"/>
      <c r="C19" s="16"/>
      <c r="D19" s="17"/>
      <c r="E19" s="18"/>
      <c r="F19" s="16"/>
      <c r="G19" s="16"/>
      <c r="H19" s="18"/>
      <c r="I19" s="18"/>
      <c r="J19" s="19"/>
      <c r="K19" s="18"/>
      <c r="L19" s="18">
        <f>AVERAGE(L6:L18)</f>
        <v>232278.15384615384</v>
      </c>
      <c r="M19" s="18">
        <f>AVERAGE(M6:M18)</f>
        <v>185592.30769230769</v>
      </c>
      <c r="N19" s="18">
        <f>AVERAGE(N6:N18)</f>
        <v>137469.23076923078</v>
      </c>
      <c r="O19" s="20"/>
      <c r="P19" s="18"/>
      <c r="Q19" s="21">
        <f>AVERAGE(Q6:Q18)</f>
        <v>11.117667963177944</v>
      </c>
      <c r="R19" s="21">
        <f>AVERAGE(R6:R18)</f>
        <v>8.6303786850079938</v>
      </c>
      <c r="S19" s="16"/>
    </row>
    <row r="20" spans="1:19" ht="15.75" thickTop="1" x14ac:dyDescent="0.25">
      <c r="A20" s="10"/>
      <c r="B20" s="10"/>
      <c r="C20" s="10"/>
      <c r="D20" s="11"/>
      <c r="E20" s="12"/>
      <c r="F20" s="10"/>
      <c r="G20" s="10"/>
      <c r="H20" s="12"/>
      <c r="I20" s="12"/>
      <c r="J20" s="13"/>
      <c r="K20" s="12"/>
      <c r="L20" s="12"/>
      <c r="M20" s="12"/>
      <c r="N20" s="12"/>
      <c r="O20" s="14"/>
      <c r="P20" s="12"/>
      <c r="Q20" s="15"/>
      <c r="R20" s="15"/>
      <c r="S20" s="10"/>
    </row>
    <row r="21" spans="1:19" x14ac:dyDescent="0.25">
      <c r="A21" s="10"/>
      <c r="B21" s="10"/>
      <c r="C21" s="10"/>
      <c r="D21" s="11"/>
      <c r="E21" s="12"/>
      <c r="F21" s="10"/>
      <c r="G21" s="10"/>
      <c r="H21" s="12"/>
      <c r="I21" s="12"/>
      <c r="J21" s="13"/>
      <c r="K21" s="12"/>
      <c r="L21" s="12"/>
      <c r="M21" s="12"/>
      <c r="N21" s="12"/>
      <c r="O21" s="14"/>
      <c r="P21" s="12"/>
      <c r="Q21" s="15"/>
      <c r="R21" s="15"/>
      <c r="S21" s="10"/>
    </row>
    <row r="22" spans="1:19" x14ac:dyDescent="0.25">
      <c r="A22" s="10" t="s">
        <v>2125</v>
      </c>
      <c r="B22" s="10" t="s">
        <v>2126</v>
      </c>
      <c r="C22" s="10" t="s">
        <v>2127</v>
      </c>
      <c r="D22" s="11">
        <v>45692</v>
      </c>
      <c r="E22" s="12">
        <v>401000</v>
      </c>
      <c r="F22" s="10" t="s">
        <v>22</v>
      </c>
      <c r="G22" s="10" t="s">
        <v>23</v>
      </c>
      <c r="H22" s="12">
        <v>401000</v>
      </c>
      <c r="I22" s="12">
        <v>205100</v>
      </c>
      <c r="J22" s="13">
        <f t="shared" ref="J22:J27" si="5">I22/H22*100</f>
        <v>51.147132169576061</v>
      </c>
      <c r="K22" s="12">
        <v>410202</v>
      </c>
      <c r="L22" s="12">
        <f>H22-292996</f>
        <v>108004</v>
      </c>
      <c r="M22" s="12">
        <v>117206</v>
      </c>
      <c r="N22" s="12">
        <f t="shared" ref="N22:N27" si="6">E22*0.2</f>
        <v>80200</v>
      </c>
      <c r="O22" s="14">
        <v>0.48699999999999999</v>
      </c>
      <c r="P22" s="12">
        <f t="shared" ref="P22:P27" si="7">L22/O22</f>
        <v>221774.12731006159</v>
      </c>
      <c r="Q22" s="15">
        <f t="shared" ref="Q22:Q27" si="8">L22/O22/43560</f>
        <v>5.0912334093218918</v>
      </c>
      <c r="R22" s="15">
        <f t="shared" ref="R22:R27" si="9">M22/O22/43560</f>
        <v>5.5250092864429252</v>
      </c>
      <c r="S22" s="10" t="s">
        <v>24</v>
      </c>
    </row>
    <row r="23" spans="1:19" x14ac:dyDescent="0.25">
      <c r="A23" s="10" t="s">
        <v>2128</v>
      </c>
      <c r="B23" s="10" t="s">
        <v>2129</v>
      </c>
      <c r="C23" s="10" t="s">
        <v>2127</v>
      </c>
      <c r="D23" s="11">
        <v>45156</v>
      </c>
      <c r="E23" s="12">
        <v>540000</v>
      </c>
      <c r="F23" s="10" t="s">
        <v>29</v>
      </c>
      <c r="G23" s="10" t="s">
        <v>23</v>
      </c>
      <c r="H23" s="12">
        <v>540000</v>
      </c>
      <c r="I23" s="12">
        <v>233230</v>
      </c>
      <c r="J23" s="13">
        <f t="shared" si="5"/>
        <v>43.190740740740743</v>
      </c>
      <c r="K23" s="12">
        <v>466454</v>
      </c>
      <c r="L23" s="12">
        <f>H23-319112</f>
        <v>220888</v>
      </c>
      <c r="M23" s="12">
        <v>147342</v>
      </c>
      <c r="N23" s="12">
        <f t="shared" si="6"/>
        <v>108000</v>
      </c>
      <c r="O23" s="14">
        <v>0.55300000000000005</v>
      </c>
      <c r="P23" s="12">
        <f t="shared" si="7"/>
        <v>399435.80470162746</v>
      </c>
      <c r="Q23" s="15">
        <f t="shared" si="8"/>
        <v>9.1697843136278117</v>
      </c>
      <c r="R23" s="15">
        <f t="shared" si="9"/>
        <v>6.1166489820114665</v>
      </c>
      <c r="S23" s="10" t="s">
        <v>24</v>
      </c>
    </row>
    <row r="24" spans="1:19" x14ac:dyDescent="0.25">
      <c r="A24" s="10" t="s">
        <v>2130</v>
      </c>
      <c r="B24" s="10" t="s">
        <v>2131</v>
      </c>
      <c r="C24" s="10" t="s">
        <v>2127</v>
      </c>
      <c r="D24" s="11">
        <v>45183</v>
      </c>
      <c r="E24" s="12">
        <v>600000</v>
      </c>
      <c r="F24" s="10" t="s">
        <v>22</v>
      </c>
      <c r="G24" s="10" t="s">
        <v>23</v>
      </c>
      <c r="H24" s="12">
        <v>600000</v>
      </c>
      <c r="I24" s="12">
        <v>313960</v>
      </c>
      <c r="J24" s="13">
        <f t="shared" si="5"/>
        <v>52.326666666666668</v>
      </c>
      <c r="K24" s="12">
        <v>627910</v>
      </c>
      <c r="L24" s="12">
        <f>H24-467609</f>
        <v>132391</v>
      </c>
      <c r="M24" s="12">
        <v>160301</v>
      </c>
      <c r="N24" s="12">
        <f t="shared" si="6"/>
        <v>120000</v>
      </c>
      <c r="O24" s="14">
        <v>0.67200000000000004</v>
      </c>
      <c r="P24" s="12">
        <f t="shared" si="7"/>
        <v>197010.41666666666</v>
      </c>
      <c r="Q24" s="15">
        <f t="shared" si="8"/>
        <v>4.5227368380777468</v>
      </c>
      <c r="R24" s="15">
        <f t="shared" si="9"/>
        <v>5.4761973085836715</v>
      </c>
      <c r="S24" s="10" t="s">
        <v>24</v>
      </c>
    </row>
    <row r="25" spans="1:19" x14ac:dyDescent="0.25">
      <c r="A25" s="10" t="s">
        <v>2132</v>
      </c>
      <c r="B25" s="10" t="s">
        <v>2133</v>
      </c>
      <c r="C25" s="10" t="s">
        <v>2127</v>
      </c>
      <c r="D25" s="11">
        <v>45687</v>
      </c>
      <c r="E25" s="12">
        <v>485000</v>
      </c>
      <c r="F25" s="10" t="s">
        <v>22</v>
      </c>
      <c r="G25" s="10" t="s">
        <v>23</v>
      </c>
      <c r="H25" s="12">
        <v>485000</v>
      </c>
      <c r="I25" s="12">
        <v>251670</v>
      </c>
      <c r="J25" s="13">
        <f t="shared" si="5"/>
        <v>51.89072164948454</v>
      </c>
      <c r="K25" s="12">
        <v>503333</v>
      </c>
      <c r="L25" s="12">
        <f>H25-353160</f>
        <v>131840</v>
      </c>
      <c r="M25" s="12">
        <v>150173</v>
      </c>
      <c r="N25" s="12">
        <f t="shared" si="6"/>
        <v>97000</v>
      </c>
      <c r="O25" s="14">
        <v>0.57899999999999996</v>
      </c>
      <c r="P25" s="12">
        <f t="shared" si="7"/>
        <v>227702.93609671851</v>
      </c>
      <c r="Q25" s="15">
        <f t="shared" si="8"/>
        <v>5.2273401307786616</v>
      </c>
      <c r="R25" s="15">
        <f t="shared" si="9"/>
        <v>5.9542274685939311</v>
      </c>
      <c r="S25" s="10" t="s">
        <v>24</v>
      </c>
    </row>
    <row r="26" spans="1:19" x14ac:dyDescent="0.25">
      <c r="A26" s="10" t="s">
        <v>2134</v>
      </c>
      <c r="B26" s="10" t="s">
        <v>2135</v>
      </c>
      <c r="C26" s="10" t="s">
        <v>2127</v>
      </c>
      <c r="D26" s="11">
        <v>45168</v>
      </c>
      <c r="E26" s="12">
        <v>540000</v>
      </c>
      <c r="F26" s="10" t="s">
        <v>22</v>
      </c>
      <c r="G26" s="10" t="s">
        <v>23</v>
      </c>
      <c r="H26" s="12">
        <v>540000</v>
      </c>
      <c r="I26" s="12">
        <v>272920</v>
      </c>
      <c r="J26" s="13">
        <f t="shared" si="5"/>
        <v>50.540740740740745</v>
      </c>
      <c r="K26" s="12">
        <v>545830</v>
      </c>
      <c r="L26" s="12">
        <f>H26-400340</f>
        <v>139660</v>
      </c>
      <c r="M26" s="12">
        <v>145490</v>
      </c>
      <c r="N26" s="12">
        <f t="shared" si="6"/>
        <v>108000</v>
      </c>
      <c r="O26" s="14">
        <v>0.53600000000000003</v>
      </c>
      <c r="P26" s="12">
        <f t="shared" si="7"/>
        <v>260559.70149253731</v>
      </c>
      <c r="Q26" s="15">
        <f t="shared" si="8"/>
        <v>5.9816276743006727</v>
      </c>
      <c r="R26" s="15">
        <f t="shared" si="9"/>
        <v>6.2313261516110909</v>
      </c>
      <c r="S26" s="10" t="s">
        <v>24</v>
      </c>
    </row>
    <row r="27" spans="1:19" x14ac:dyDescent="0.25">
      <c r="A27" s="10" t="s">
        <v>2136</v>
      </c>
      <c r="B27" s="10" t="s">
        <v>2137</v>
      </c>
      <c r="C27" s="10" t="s">
        <v>2127</v>
      </c>
      <c r="D27" s="11">
        <v>45184</v>
      </c>
      <c r="E27" s="12">
        <v>500000</v>
      </c>
      <c r="F27" s="10" t="s">
        <v>22</v>
      </c>
      <c r="G27" s="10" t="s">
        <v>23</v>
      </c>
      <c r="H27" s="12">
        <v>500000</v>
      </c>
      <c r="I27" s="12">
        <v>252640</v>
      </c>
      <c r="J27" s="13">
        <f t="shared" si="5"/>
        <v>50.527999999999992</v>
      </c>
      <c r="K27" s="12">
        <v>505271</v>
      </c>
      <c r="L27" s="12">
        <f>H27-354444</f>
        <v>145556</v>
      </c>
      <c r="M27" s="12">
        <v>150827</v>
      </c>
      <c r="N27" s="12">
        <f t="shared" si="6"/>
        <v>100000</v>
      </c>
      <c r="O27" s="14">
        <v>0.58499999999999996</v>
      </c>
      <c r="P27" s="12">
        <f t="shared" si="7"/>
        <v>248813.67521367522</v>
      </c>
      <c r="Q27" s="15">
        <f t="shared" si="8"/>
        <v>5.7119760150063179</v>
      </c>
      <c r="R27" s="15">
        <f t="shared" si="9"/>
        <v>5.9188230400351616</v>
      </c>
      <c r="S27" s="10" t="s">
        <v>24</v>
      </c>
    </row>
    <row r="28" spans="1:19" ht="15.75" thickBot="1" x14ac:dyDescent="0.3">
      <c r="A28" s="16"/>
      <c r="B28" s="16"/>
      <c r="C28" s="16"/>
      <c r="D28" s="17"/>
      <c r="E28" s="18"/>
      <c r="F28" s="16"/>
      <c r="G28" s="16"/>
      <c r="H28" s="18"/>
      <c r="I28" s="18"/>
      <c r="J28" s="19"/>
      <c r="K28" s="18"/>
      <c r="L28" s="18">
        <f>AVERAGE(L22:L27)</f>
        <v>146389.83333333334</v>
      </c>
      <c r="M28" s="18">
        <f>AVERAGE(M22:M27)</f>
        <v>145223.16666666666</v>
      </c>
      <c r="N28" s="18">
        <f>AVERAGE(N22:N27)</f>
        <v>102200</v>
      </c>
      <c r="O28" s="20"/>
      <c r="P28" s="18"/>
      <c r="Q28" s="21">
        <f>AVERAGE(Q22:Q27)</f>
        <v>5.950783063518851</v>
      </c>
      <c r="R28" s="21">
        <f>AVERAGE(R22:R27)</f>
        <v>5.8703720395463748</v>
      </c>
      <c r="S28" s="16"/>
    </row>
    <row r="29" spans="1:19" ht="15.75" thickTop="1" x14ac:dyDescent="0.25">
      <c r="A29" s="10"/>
      <c r="B29" s="10"/>
      <c r="C29" s="10"/>
      <c r="D29" s="11"/>
      <c r="E29" s="12"/>
      <c r="F29" s="10"/>
      <c r="G29" s="10"/>
      <c r="H29" s="12"/>
      <c r="I29" s="12"/>
      <c r="J29" s="13"/>
      <c r="K29" s="12"/>
      <c r="L29" s="12"/>
      <c r="M29" s="12"/>
      <c r="N29" s="12"/>
      <c r="O29" s="14"/>
      <c r="P29" s="12"/>
      <c r="Q29" s="15"/>
      <c r="R29" s="15"/>
      <c r="S29" s="10"/>
    </row>
    <row r="30" spans="1:19" x14ac:dyDescent="0.25">
      <c r="A30" s="10"/>
      <c r="B30" s="10"/>
      <c r="C30" s="10"/>
      <c r="D30" s="11"/>
      <c r="E30" s="12"/>
      <c r="F30" s="10"/>
      <c r="G30" s="10"/>
      <c r="H30" s="12"/>
      <c r="I30" s="12"/>
      <c r="J30" s="13"/>
      <c r="K30" s="12"/>
      <c r="L30" s="12"/>
      <c r="M30" s="12"/>
      <c r="N30" s="12"/>
      <c r="O30" s="14"/>
      <c r="P30" s="12"/>
      <c r="Q30" s="15"/>
      <c r="R30" s="15"/>
      <c r="S30" s="10"/>
    </row>
    <row r="31" spans="1:19" x14ac:dyDescent="0.25">
      <c r="A31" s="10" t="s">
        <v>2138</v>
      </c>
      <c r="B31" s="10" t="s">
        <v>2139</v>
      </c>
      <c r="C31" s="10" t="s">
        <v>2140</v>
      </c>
      <c r="D31" s="11">
        <v>45106</v>
      </c>
      <c r="E31" s="12">
        <v>1350000</v>
      </c>
      <c r="F31" s="10" t="s">
        <v>29</v>
      </c>
      <c r="G31" s="10" t="s">
        <v>23</v>
      </c>
      <c r="H31" s="12">
        <v>1350000</v>
      </c>
      <c r="I31" s="12">
        <v>638810</v>
      </c>
      <c r="J31" s="13">
        <f>I31/H31*100</f>
        <v>47.319259259259262</v>
      </c>
      <c r="K31" s="12">
        <v>1277610</v>
      </c>
      <c r="L31" s="12">
        <f>H31-961081</f>
        <v>388919</v>
      </c>
      <c r="M31" s="12">
        <v>316529</v>
      </c>
      <c r="N31" s="12">
        <f>E31*0.2</f>
        <v>270000</v>
      </c>
      <c r="O31" s="14">
        <v>1.0329999999999999</v>
      </c>
      <c r="P31" s="12">
        <f>L31/O31</f>
        <v>376494.67570183933</v>
      </c>
      <c r="Q31" s="15">
        <f>L31/O31/43560</f>
        <v>8.6431284596381843</v>
      </c>
      <c r="R31" s="15">
        <f>M31/O31/43560</f>
        <v>7.0343717025931243</v>
      </c>
      <c r="S31" s="10" t="s">
        <v>24</v>
      </c>
    </row>
    <row r="32" spans="1:19" ht="15.75" thickBot="1" x14ac:dyDescent="0.3">
      <c r="A32" s="16"/>
      <c r="B32" s="16"/>
      <c r="C32" s="16"/>
      <c r="D32" s="17"/>
      <c r="E32" s="18"/>
      <c r="F32" s="16"/>
      <c r="G32" s="16"/>
      <c r="H32" s="18"/>
      <c r="I32" s="18"/>
      <c r="J32" s="19"/>
      <c r="K32" s="18"/>
      <c r="L32" s="18">
        <f>AVERAGE(L31)</f>
        <v>388919</v>
      </c>
      <c r="M32" s="18">
        <f>AVERAGE(M31)</f>
        <v>316529</v>
      </c>
      <c r="N32" s="18">
        <f>AVERAGE(N31)</f>
        <v>270000</v>
      </c>
      <c r="O32" s="20"/>
      <c r="P32" s="18"/>
      <c r="Q32" s="21">
        <f>AVERAGE(Q31)</f>
        <v>8.6431284596381843</v>
      </c>
      <c r="R32" s="21">
        <f>AVERAGE(R31)</f>
        <v>7.0343717025931243</v>
      </c>
      <c r="S32" s="16"/>
    </row>
    <row r="33" spans="1:19" ht="15.75" thickTop="1" x14ac:dyDescent="0.25">
      <c r="A33" s="10"/>
      <c r="B33" s="10"/>
      <c r="C33" s="10"/>
      <c r="D33" s="11"/>
      <c r="E33" s="12"/>
      <c r="F33" s="10"/>
      <c r="G33" s="10"/>
      <c r="H33" s="12"/>
      <c r="I33" s="12"/>
      <c r="J33" s="13"/>
      <c r="K33" s="12"/>
      <c r="L33" s="12"/>
      <c r="M33" s="12"/>
      <c r="N33" s="12"/>
      <c r="O33" s="14"/>
      <c r="P33" s="12"/>
      <c r="Q33" s="15"/>
      <c r="R33" s="15"/>
      <c r="S33" s="10"/>
    </row>
    <row r="34" spans="1:19" x14ac:dyDescent="0.25">
      <c r="A34" s="10"/>
      <c r="B34" s="10"/>
      <c r="C34" s="10"/>
      <c r="D34" s="11"/>
      <c r="E34" s="12"/>
      <c r="F34" s="10"/>
      <c r="G34" s="10"/>
      <c r="H34" s="12"/>
      <c r="I34" s="12"/>
      <c r="J34" s="13"/>
      <c r="K34" s="12"/>
      <c r="L34" s="12"/>
      <c r="M34" s="12"/>
      <c r="N34" s="12"/>
      <c r="O34" s="14"/>
      <c r="P34" s="12"/>
      <c r="Q34" s="15"/>
      <c r="R34" s="15"/>
      <c r="S34" s="10"/>
    </row>
    <row r="35" spans="1:19" x14ac:dyDescent="0.25">
      <c r="A35" s="10" t="s">
        <v>2141</v>
      </c>
      <c r="B35" s="10" t="s">
        <v>2142</v>
      </c>
      <c r="C35" s="10" t="s">
        <v>2143</v>
      </c>
      <c r="D35" s="11">
        <v>45348</v>
      </c>
      <c r="E35" s="12">
        <v>630000</v>
      </c>
      <c r="F35" s="10" t="s">
        <v>29</v>
      </c>
      <c r="G35" s="10" t="s">
        <v>23</v>
      </c>
      <c r="H35" s="12">
        <v>630000</v>
      </c>
      <c r="I35" s="12">
        <v>423230</v>
      </c>
      <c r="J35" s="13">
        <f>I35/H35*100</f>
        <v>67.179365079365084</v>
      </c>
      <c r="K35" s="12">
        <v>846455</v>
      </c>
      <c r="L35" s="12">
        <f>H35-679816</f>
        <v>-49816</v>
      </c>
      <c r="M35" s="12">
        <v>166639</v>
      </c>
      <c r="N35" s="12">
        <f>E35*0.2</f>
        <v>126000</v>
      </c>
      <c r="O35" s="14">
        <v>0.93600000000000005</v>
      </c>
      <c r="P35" s="12">
        <f>L35/O35</f>
        <v>-53222.222222222219</v>
      </c>
      <c r="Q35" s="15">
        <f>L35/O35/43560</f>
        <v>-1.2218141006019794</v>
      </c>
      <c r="R35" s="15">
        <f>M35/O35/43560</f>
        <v>4.0870780454113786</v>
      </c>
      <c r="S35" s="10" t="s">
        <v>24</v>
      </c>
    </row>
    <row r="36" spans="1:19" ht="15.75" thickBot="1" x14ac:dyDescent="0.3">
      <c r="A36" s="16"/>
      <c r="B36" s="16"/>
      <c r="C36" s="16"/>
      <c r="D36" s="17"/>
      <c r="E36" s="18"/>
      <c r="F36" s="16"/>
      <c r="G36" s="16"/>
      <c r="H36" s="18"/>
      <c r="I36" s="18"/>
      <c r="J36" s="19"/>
      <c r="K36" s="18"/>
      <c r="L36" s="18">
        <f>AVERAGE(L35)</f>
        <v>-49816</v>
      </c>
      <c r="M36" s="18">
        <f>AVERAGE(M35)</f>
        <v>166639</v>
      </c>
      <c r="N36" s="18">
        <f>AVERAGE(N35)</f>
        <v>126000</v>
      </c>
      <c r="O36" s="20"/>
      <c r="P36" s="18"/>
      <c r="Q36" s="21">
        <f>AVERAGE(Q35)</f>
        <v>-1.2218141006019794</v>
      </c>
      <c r="R36" s="21">
        <f>AVERAGE(R35)</f>
        <v>4.0870780454113786</v>
      </c>
      <c r="S36" s="16"/>
    </row>
    <row r="37" spans="1:19" ht="15.75" thickTop="1" x14ac:dyDescent="0.25">
      <c r="A37" s="10"/>
      <c r="B37" s="10"/>
      <c r="C37" s="10"/>
      <c r="D37" s="11"/>
      <c r="E37" s="12"/>
      <c r="F37" s="10"/>
      <c r="G37" s="10"/>
      <c r="H37" s="12"/>
      <c r="I37" s="12"/>
      <c r="J37" s="13"/>
      <c r="K37" s="12"/>
      <c r="L37" s="12"/>
      <c r="M37" s="12"/>
      <c r="N37" s="12"/>
      <c r="O37" s="14"/>
      <c r="P37" s="12"/>
      <c r="Q37" s="15"/>
      <c r="R37" s="15"/>
      <c r="S37" s="10"/>
    </row>
    <row r="38" spans="1:19" x14ac:dyDescent="0.25">
      <c r="A38" s="10"/>
      <c r="B38" s="10"/>
      <c r="C38" s="10"/>
      <c r="D38" s="11"/>
      <c r="E38" s="12"/>
      <c r="F38" s="10"/>
      <c r="G38" s="10"/>
      <c r="H38" s="12"/>
      <c r="I38" s="12"/>
      <c r="J38" s="13"/>
      <c r="K38" s="12"/>
      <c r="L38" s="12"/>
      <c r="M38" s="12"/>
      <c r="N38" s="12"/>
      <c r="O38" s="14"/>
      <c r="P38" s="12"/>
      <c r="Q38" s="15"/>
      <c r="R38" s="15"/>
      <c r="S38" s="10"/>
    </row>
    <row r="39" spans="1:19" x14ac:dyDescent="0.25">
      <c r="A39" s="10" t="s">
        <v>2144</v>
      </c>
      <c r="B39" s="10" t="s">
        <v>2145</v>
      </c>
      <c r="C39" s="10" t="s">
        <v>2146</v>
      </c>
      <c r="D39" s="11">
        <v>45351</v>
      </c>
      <c r="E39" s="12">
        <v>679000</v>
      </c>
      <c r="F39" s="10" t="s">
        <v>22</v>
      </c>
      <c r="G39" s="10" t="s">
        <v>23</v>
      </c>
      <c r="H39" s="12">
        <v>679000</v>
      </c>
      <c r="I39" s="12">
        <v>337390</v>
      </c>
      <c r="J39" s="13">
        <f>I39/H39*100</f>
        <v>49.68924889543446</v>
      </c>
      <c r="K39" s="12">
        <v>674787</v>
      </c>
      <c r="L39" s="12">
        <f>H39-513446</f>
        <v>165554</v>
      </c>
      <c r="M39" s="12">
        <v>161341</v>
      </c>
      <c r="N39" s="12">
        <f>E39*0.2</f>
        <v>135800</v>
      </c>
      <c r="O39" s="14">
        <v>0.76500000000000001</v>
      </c>
      <c r="P39" s="12">
        <f>L39/O39</f>
        <v>216410.45751633987</v>
      </c>
      <c r="Q39" s="15">
        <f>L39/O39/43560</f>
        <v>4.9681004939471967</v>
      </c>
      <c r="R39" s="15">
        <f>M39/O39/43560</f>
        <v>4.8416728184999132</v>
      </c>
      <c r="S39" s="10" t="s">
        <v>24</v>
      </c>
    </row>
    <row r="40" spans="1:19" x14ac:dyDescent="0.25">
      <c r="A40" s="10" t="s">
        <v>2147</v>
      </c>
      <c r="B40" s="10" t="s">
        <v>2148</v>
      </c>
      <c r="C40" s="10" t="s">
        <v>2146</v>
      </c>
      <c r="D40" s="11">
        <v>45716</v>
      </c>
      <c r="E40" s="12">
        <v>685000</v>
      </c>
      <c r="F40" s="10" t="s">
        <v>29</v>
      </c>
      <c r="G40" s="10" t="s">
        <v>23</v>
      </c>
      <c r="H40" s="12">
        <v>685000</v>
      </c>
      <c r="I40" s="12">
        <v>292040</v>
      </c>
      <c r="J40" s="13">
        <f>I40/H40*100</f>
        <v>42.633576642335768</v>
      </c>
      <c r="K40" s="12">
        <v>584070</v>
      </c>
      <c r="L40" s="12">
        <f>H40-406552</f>
        <v>278448</v>
      </c>
      <c r="M40" s="12">
        <v>177518</v>
      </c>
      <c r="N40" s="12">
        <f>E40*0.2</f>
        <v>137000</v>
      </c>
      <c r="O40" s="14">
        <v>0.67700000000000005</v>
      </c>
      <c r="P40" s="12">
        <f>L40/O40</f>
        <v>411296.89807976363</v>
      </c>
      <c r="Q40" s="15">
        <f>L40/O40/43560</f>
        <v>9.4420775500404872</v>
      </c>
      <c r="R40" s="15">
        <f>M40/O40/43560</f>
        <v>6.0195753696492238</v>
      </c>
      <c r="S40" s="10" t="s">
        <v>24</v>
      </c>
    </row>
    <row r="41" spans="1:19" x14ac:dyDescent="0.25">
      <c r="A41" s="10" t="s">
        <v>2149</v>
      </c>
      <c r="B41" s="10" t="s">
        <v>2150</v>
      </c>
      <c r="C41" s="10" t="s">
        <v>2146</v>
      </c>
      <c r="D41" s="11">
        <v>45497</v>
      </c>
      <c r="E41" s="12">
        <v>1600000</v>
      </c>
      <c r="F41" s="10" t="s">
        <v>22</v>
      </c>
      <c r="G41" s="10" t="s">
        <v>23</v>
      </c>
      <c r="H41" s="12">
        <v>1600000</v>
      </c>
      <c r="I41" s="12">
        <v>370660</v>
      </c>
      <c r="J41" s="13">
        <f>I41/H41*100</f>
        <v>23.166249999999998</v>
      </c>
      <c r="K41" s="12">
        <v>741311</v>
      </c>
      <c r="L41" s="12">
        <f>H41-490606</f>
        <v>1109394</v>
      </c>
      <c r="M41" s="12">
        <v>250705</v>
      </c>
      <c r="N41" s="12">
        <f>E41*0.2</f>
        <v>320000</v>
      </c>
      <c r="O41" s="14">
        <v>0.68799999999999994</v>
      </c>
      <c r="P41" s="12">
        <f>L41/O41</f>
        <v>1612491.2790697676</v>
      </c>
      <c r="Q41" s="15">
        <f>L41/O41/43560</f>
        <v>37.017706131078228</v>
      </c>
      <c r="R41" s="15">
        <f>M41/O41/43560</f>
        <v>8.3653995024238164</v>
      </c>
      <c r="S41" s="10" t="s">
        <v>24</v>
      </c>
    </row>
    <row r="42" spans="1:19" ht="15.75" thickBot="1" x14ac:dyDescent="0.3">
      <c r="A42" s="16"/>
      <c r="B42" s="16"/>
      <c r="C42" s="16"/>
      <c r="D42" s="17"/>
      <c r="E42" s="18"/>
      <c r="F42" s="16"/>
      <c r="G42" s="16"/>
      <c r="H42" s="18"/>
      <c r="I42" s="18"/>
      <c r="J42" s="19"/>
      <c r="K42" s="18"/>
      <c r="L42" s="18">
        <f>AVERAGE(L39:L41)</f>
        <v>517798.66666666669</v>
      </c>
      <c r="M42" s="18">
        <f>AVERAGE(M39:M41)</f>
        <v>196521.33333333334</v>
      </c>
      <c r="N42" s="18">
        <f>AVERAGE(N39:N41)</f>
        <v>197600</v>
      </c>
      <c r="O42" s="20"/>
      <c r="P42" s="18"/>
      <c r="Q42" s="21">
        <f>AVERAGE(Q39:Q41)</f>
        <v>17.142628058355303</v>
      </c>
      <c r="R42" s="21">
        <f>AVERAGE(R39:R41)</f>
        <v>6.4088825635243181</v>
      </c>
      <c r="S42" s="16"/>
    </row>
    <row r="43" spans="1:19" ht="15.75" thickTop="1" x14ac:dyDescent="0.25">
      <c r="A43" s="10"/>
      <c r="B43" s="10"/>
      <c r="C43" s="10"/>
      <c r="D43" s="11"/>
      <c r="E43" s="12"/>
      <c r="F43" s="10"/>
      <c r="G43" s="10"/>
      <c r="H43" s="12"/>
      <c r="I43" s="12"/>
      <c r="J43" s="13"/>
      <c r="K43" s="12"/>
      <c r="L43" s="12"/>
      <c r="M43" s="12"/>
      <c r="N43" s="12"/>
      <c r="O43" s="14"/>
      <c r="P43" s="12"/>
      <c r="Q43" s="15"/>
      <c r="R43" s="15"/>
      <c r="S43" s="10"/>
    </row>
    <row r="44" spans="1:19" x14ac:dyDescent="0.25">
      <c r="A44" s="10"/>
      <c r="B44" s="10"/>
      <c r="C44" s="10"/>
      <c r="D44" s="11"/>
      <c r="E44" s="12"/>
      <c r="F44" s="10"/>
      <c r="G44" s="10"/>
      <c r="H44" s="12"/>
      <c r="I44" s="12"/>
      <c r="J44" s="13"/>
      <c r="K44" s="12"/>
      <c r="L44" s="12"/>
      <c r="M44" s="12"/>
      <c r="N44" s="12"/>
      <c r="O44" s="14"/>
      <c r="P44" s="12"/>
      <c r="Q44" s="15"/>
      <c r="R44" s="15"/>
      <c r="S44" s="10"/>
    </row>
    <row r="45" spans="1:19" x14ac:dyDescent="0.25">
      <c r="A45" s="10" t="s">
        <v>2151</v>
      </c>
      <c r="B45" s="10" t="s">
        <v>2152</v>
      </c>
      <c r="C45" s="10" t="s">
        <v>2153</v>
      </c>
      <c r="D45" s="11">
        <v>45429</v>
      </c>
      <c r="E45" s="12">
        <v>600000</v>
      </c>
      <c r="F45" s="10" t="s">
        <v>29</v>
      </c>
      <c r="G45" s="10" t="s">
        <v>23</v>
      </c>
      <c r="H45" s="12">
        <v>600000</v>
      </c>
      <c r="I45" s="12">
        <v>383320</v>
      </c>
      <c r="J45" s="13">
        <f>I45/H45*100</f>
        <v>63.88666666666667</v>
      </c>
      <c r="K45" s="12">
        <v>766631</v>
      </c>
      <c r="L45" s="12">
        <f>H45-524546</f>
        <v>75454</v>
      </c>
      <c r="M45" s="12">
        <v>242085</v>
      </c>
      <c r="N45" s="12">
        <f>E45*0.2</f>
        <v>120000</v>
      </c>
      <c r="O45" s="14">
        <v>0.52300000000000002</v>
      </c>
      <c r="P45" s="12">
        <f>L45/O45</f>
        <v>144271.5105162524</v>
      </c>
      <c r="Q45" s="15">
        <f>L45/O45/43560</f>
        <v>3.312018147756024</v>
      </c>
      <c r="R45" s="15">
        <f>M45/O45/43560</f>
        <v>10.626208197040805</v>
      </c>
      <c r="S45" s="10" t="s">
        <v>24</v>
      </c>
    </row>
    <row r="46" spans="1:19" ht="15.75" thickBot="1" x14ac:dyDescent="0.3">
      <c r="A46" s="16"/>
      <c r="B46" s="16"/>
      <c r="C46" s="16"/>
      <c r="D46" s="17"/>
      <c r="E46" s="18"/>
      <c r="F46" s="16"/>
      <c r="G46" s="16"/>
      <c r="H46" s="18"/>
      <c r="I46" s="18"/>
      <c r="J46" s="19"/>
      <c r="K46" s="18"/>
      <c r="L46" s="18">
        <f>AVERAGE(L45)</f>
        <v>75454</v>
      </c>
      <c r="M46" s="18">
        <f>AVERAGE(M45)</f>
        <v>242085</v>
      </c>
      <c r="N46" s="18">
        <f>AVERAGE(N45)</f>
        <v>120000</v>
      </c>
      <c r="O46" s="20"/>
      <c r="P46" s="18"/>
      <c r="Q46" s="21">
        <f>AVERAGE(Q45)</f>
        <v>3.312018147756024</v>
      </c>
      <c r="R46" s="21">
        <f>AVERAGE(R45)</f>
        <v>10.626208197040805</v>
      </c>
      <c r="S46" s="16"/>
    </row>
    <row r="47" spans="1:19" ht="15.75" thickTop="1" x14ac:dyDescent="0.25">
      <c r="A47" s="10"/>
      <c r="B47" s="10"/>
      <c r="C47" s="10"/>
      <c r="D47" s="11"/>
      <c r="E47" s="12"/>
      <c r="F47" s="10"/>
      <c r="G47" s="10"/>
      <c r="H47" s="12"/>
      <c r="I47" s="12"/>
      <c r="J47" s="13"/>
      <c r="K47" s="12"/>
      <c r="L47" s="12"/>
      <c r="M47" s="12"/>
      <c r="N47" s="12"/>
      <c r="O47" s="14"/>
      <c r="P47" s="12"/>
      <c r="Q47" s="15"/>
      <c r="R47" s="15"/>
      <c r="S47" s="10"/>
    </row>
    <row r="48" spans="1:19" x14ac:dyDescent="0.25">
      <c r="A48" s="10"/>
      <c r="B48" s="10"/>
      <c r="C48" s="10"/>
      <c r="D48" s="11"/>
      <c r="E48" s="12"/>
      <c r="F48" s="10"/>
      <c r="G48" s="10"/>
      <c r="H48" s="12"/>
      <c r="I48" s="12"/>
      <c r="J48" s="13"/>
      <c r="K48" s="12"/>
      <c r="L48" s="12"/>
      <c r="M48" s="12"/>
      <c r="N48" s="12"/>
      <c r="O48" s="14"/>
      <c r="P48" s="12"/>
      <c r="Q48" s="15"/>
      <c r="R48" s="15"/>
      <c r="S48" s="10"/>
    </row>
    <row r="49" spans="1:19" x14ac:dyDescent="0.25">
      <c r="A49" s="10" t="s">
        <v>2154</v>
      </c>
      <c r="B49" s="10" t="s">
        <v>2155</v>
      </c>
      <c r="C49" s="10" t="s">
        <v>2156</v>
      </c>
      <c r="D49" s="11">
        <v>45460</v>
      </c>
      <c r="E49" s="12">
        <v>650000</v>
      </c>
      <c r="F49" s="10" t="s">
        <v>29</v>
      </c>
      <c r="G49" s="10" t="s">
        <v>23</v>
      </c>
      <c r="H49" s="12">
        <v>650000</v>
      </c>
      <c r="I49" s="12">
        <v>340150</v>
      </c>
      <c r="J49" s="13">
        <f>I49/H49*100</f>
        <v>52.330769230769235</v>
      </c>
      <c r="K49" s="12">
        <v>680307</v>
      </c>
      <c r="L49" s="12">
        <f>H49-476446</f>
        <v>173554</v>
      </c>
      <c r="M49" s="12">
        <v>203861</v>
      </c>
      <c r="N49" s="12">
        <f>E49*0.2</f>
        <v>130000</v>
      </c>
      <c r="O49" s="14">
        <v>0.46800000000000003</v>
      </c>
      <c r="P49" s="12">
        <f>L49/O49</f>
        <v>370841.88034188031</v>
      </c>
      <c r="Q49" s="15">
        <f>L49/O49/43560</f>
        <v>8.5133581345702556</v>
      </c>
      <c r="R49" s="15">
        <f>M49/O49/43560</f>
        <v>10.00000981061587</v>
      </c>
      <c r="S49" s="10" t="s">
        <v>24</v>
      </c>
    </row>
    <row r="50" spans="1:19" x14ac:dyDescent="0.25">
      <c r="A50" s="10" t="s">
        <v>2157</v>
      </c>
      <c r="B50" s="10" t="s">
        <v>2158</v>
      </c>
      <c r="C50" s="10" t="s">
        <v>2156</v>
      </c>
      <c r="D50" s="11">
        <v>45443</v>
      </c>
      <c r="E50" s="12">
        <v>617000</v>
      </c>
      <c r="F50" s="10" t="s">
        <v>1379</v>
      </c>
      <c r="G50" s="10" t="s">
        <v>23</v>
      </c>
      <c r="H50" s="12">
        <v>617000</v>
      </c>
      <c r="I50" s="12">
        <v>260460</v>
      </c>
      <c r="J50" s="13">
        <f>I50/H50*100</f>
        <v>42.213938411669368</v>
      </c>
      <c r="K50" s="12">
        <v>520927</v>
      </c>
      <c r="L50" s="12">
        <f>H50-385020</f>
        <v>231980</v>
      </c>
      <c r="M50" s="12">
        <v>135907</v>
      </c>
      <c r="N50" s="12">
        <f>E50*0.2</f>
        <v>123400</v>
      </c>
      <c r="O50" s="14">
        <v>0.312</v>
      </c>
      <c r="P50" s="12">
        <f>L50/O50</f>
        <v>743525.641025641</v>
      </c>
      <c r="Q50" s="15">
        <f>L50/O50/43560</f>
        <v>17.069000023545478</v>
      </c>
      <c r="R50" s="15">
        <f>M50/O50/43560</f>
        <v>9.9999852840761942</v>
      </c>
      <c r="S50" s="10" t="s">
        <v>24</v>
      </c>
    </row>
    <row r="51" spans="1:19" x14ac:dyDescent="0.25">
      <c r="A51" s="10" t="s">
        <v>2159</v>
      </c>
      <c r="B51" s="10" t="s">
        <v>2160</v>
      </c>
      <c r="C51" s="10" t="s">
        <v>2156</v>
      </c>
      <c r="D51" s="11">
        <v>45559</v>
      </c>
      <c r="E51" s="12">
        <v>700000</v>
      </c>
      <c r="F51" s="10" t="s">
        <v>22</v>
      </c>
      <c r="G51" s="10" t="s">
        <v>23</v>
      </c>
      <c r="H51" s="12">
        <v>700000</v>
      </c>
      <c r="I51" s="12">
        <v>470900</v>
      </c>
      <c r="J51" s="13">
        <f>I51/H51*100</f>
        <v>67.271428571428572</v>
      </c>
      <c r="K51" s="12">
        <v>941809</v>
      </c>
      <c r="L51" s="12">
        <f>H51-725904</f>
        <v>-25904</v>
      </c>
      <c r="M51" s="12">
        <v>215905</v>
      </c>
      <c r="N51" s="12">
        <f>E51*0.2</f>
        <v>140000</v>
      </c>
      <c r="O51" s="14">
        <v>0.624</v>
      </c>
      <c r="P51" s="12">
        <f>L51/O51</f>
        <v>-41512.820512820515</v>
      </c>
      <c r="Q51" s="15">
        <f>L51/O51/43560</f>
        <v>-0.95300322573049856</v>
      </c>
      <c r="R51" s="15">
        <f>M51/O51/43560</f>
        <v>7.9431038237856422</v>
      </c>
      <c r="S51" s="10" t="s">
        <v>24</v>
      </c>
    </row>
    <row r="52" spans="1:19" x14ac:dyDescent="0.25">
      <c r="A52" s="10" t="s">
        <v>2161</v>
      </c>
      <c r="B52" s="10" t="s">
        <v>2162</v>
      </c>
      <c r="C52" s="10" t="s">
        <v>2156</v>
      </c>
      <c r="D52" s="11">
        <v>45315</v>
      </c>
      <c r="E52" s="12">
        <v>715000</v>
      </c>
      <c r="F52" s="10" t="s">
        <v>22</v>
      </c>
      <c r="G52" s="10" t="s">
        <v>23</v>
      </c>
      <c r="H52" s="12">
        <v>715000</v>
      </c>
      <c r="I52" s="12">
        <v>313270</v>
      </c>
      <c r="J52" s="13">
        <f>I52/H52*100</f>
        <v>43.81398601398601</v>
      </c>
      <c r="K52" s="12">
        <v>626539</v>
      </c>
      <c r="L52" s="12">
        <f>H52-410786</f>
        <v>304214</v>
      </c>
      <c r="M52" s="12">
        <v>215753</v>
      </c>
      <c r="N52" s="12">
        <f>E52*0.2</f>
        <v>143000</v>
      </c>
      <c r="O52" s="14">
        <v>0.55100000000000005</v>
      </c>
      <c r="P52" s="12">
        <f>L52/O52</f>
        <v>552112.52268602536</v>
      </c>
      <c r="Q52" s="15">
        <f>L52/O52/43560</f>
        <v>12.674759473967525</v>
      </c>
      <c r="R52" s="15">
        <f>M52/O52/43560</f>
        <v>8.9891240402707151</v>
      </c>
      <c r="S52" s="10" t="s">
        <v>24</v>
      </c>
    </row>
    <row r="53" spans="1:19" x14ac:dyDescent="0.25">
      <c r="A53" s="10" t="s">
        <v>2163</v>
      </c>
      <c r="B53" s="10" t="s">
        <v>2164</v>
      </c>
      <c r="C53" s="10" t="s">
        <v>2156</v>
      </c>
      <c r="D53" s="11">
        <v>45736</v>
      </c>
      <c r="E53" s="12">
        <v>2050000</v>
      </c>
      <c r="F53" s="10" t="s">
        <v>22</v>
      </c>
      <c r="G53" s="10" t="s">
        <v>23</v>
      </c>
      <c r="H53" s="12">
        <v>2050000</v>
      </c>
      <c r="I53" s="12">
        <v>611340</v>
      </c>
      <c r="J53" s="13">
        <f>I53/H53*100</f>
        <v>29.821463414634149</v>
      </c>
      <c r="K53" s="12">
        <v>1222671</v>
      </c>
      <c r="L53" s="12">
        <f>H53-1070031</f>
        <v>979969</v>
      </c>
      <c r="M53" s="12">
        <v>152640</v>
      </c>
      <c r="N53" s="12">
        <f>E53*0.2</f>
        <v>410000</v>
      </c>
      <c r="O53" s="14">
        <v>0.54900000000000004</v>
      </c>
      <c r="P53" s="12">
        <f>L53/O53</f>
        <v>1785007.2859744988</v>
      </c>
      <c r="Q53" s="15">
        <f>L53/O53/43560</f>
        <v>40.978128695465998</v>
      </c>
      <c r="R53" s="15">
        <f>M53/O53/43560</f>
        <v>6.3827545198633118</v>
      </c>
      <c r="S53" s="10" t="s">
        <v>24</v>
      </c>
    </row>
    <row r="54" spans="1:19" ht="15.75" thickBot="1" x14ac:dyDescent="0.3">
      <c r="A54" s="16"/>
      <c r="B54" s="16"/>
      <c r="C54" s="16"/>
      <c r="D54" s="17"/>
      <c r="E54" s="18"/>
      <c r="F54" s="16"/>
      <c r="G54" s="16"/>
      <c r="H54" s="18"/>
      <c r="I54" s="18"/>
      <c r="J54" s="19"/>
      <c r="K54" s="18"/>
      <c r="L54" s="18">
        <f>AVERAGE(L49:L53)</f>
        <v>332762.59999999998</v>
      </c>
      <c r="M54" s="18">
        <f>AVERAGE(M49:M53)</f>
        <v>184813.2</v>
      </c>
      <c r="N54" s="18">
        <f>AVERAGE(N49:N53)</f>
        <v>189280</v>
      </c>
      <c r="O54" s="20"/>
      <c r="P54" s="18"/>
      <c r="Q54" s="21">
        <f>AVERAGE(Q49:Q53)</f>
        <v>15.656448620363751</v>
      </c>
      <c r="R54" s="21">
        <f>AVERAGE(R49:R53)</f>
        <v>8.6629954957223454</v>
      </c>
      <c r="S54" s="16"/>
    </row>
    <row r="55" spans="1:19" ht="15.75" thickTop="1" x14ac:dyDescent="0.25">
      <c r="A55" s="10"/>
      <c r="B55" s="10"/>
      <c r="C55" s="10"/>
      <c r="D55" s="11"/>
      <c r="E55" s="12"/>
      <c r="F55" s="10"/>
      <c r="G55" s="10"/>
      <c r="H55" s="12"/>
      <c r="I55" s="12"/>
      <c r="J55" s="13"/>
      <c r="K55" s="12"/>
      <c r="L55" s="12"/>
      <c r="M55" s="12"/>
      <c r="N55" s="12"/>
      <c r="O55" s="14"/>
      <c r="P55" s="12"/>
      <c r="Q55" s="15"/>
      <c r="R55" s="15"/>
      <c r="S55" s="10"/>
    </row>
    <row r="56" spans="1:19" x14ac:dyDescent="0.25">
      <c r="A56" s="10"/>
      <c r="B56" s="10"/>
      <c r="C56" s="10"/>
      <c r="D56" s="11"/>
      <c r="E56" s="12"/>
      <c r="F56" s="10"/>
      <c r="G56" s="10"/>
      <c r="H56" s="12"/>
      <c r="I56" s="12"/>
      <c r="J56" s="13"/>
      <c r="K56" s="12"/>
      <c r="L56" s="12"/>
      <c r="M56" s="12"/>
      <c r="N56" s="12"/>
      <c r="O56" s="14"/>
      <c r="P56" s="12"/>
      <c r="Q56" s="15"/>
      <c r="R56" s="15"/>
      <c r="S56" s="10"/>
    </row>
    <row r="57" spans="1:19" x14ac:dyDescent="0.25">
      <c r="A57" s="10" t="s">
        <v>2165</v>
      </c>
      <c r="B57" s="10" t="s">
        <v>2166</v>
      </c>
      <c r="C57" s="10" t="s">
        <v>2167</v>
      </c>
      <c r="D57" s="11">
        <v>45049</v>
      </c>
      <c r="E57" s="12">
        <v>2550000</v>
      </c>
      <c r="F57" s="10" t="s">
        <v>22</v>
      </c>
      <c r="G57" s="10" t="s">
        <v>23</v>
      </c>
      <c r="H57" s="12">
        <v>2550000</v>
      </c>
      <c r="I57" s="12">
        <v>1294930</v>
      </c>
      <c r="J57" s="13">
        <f>I57/H57*100</f>
        <v>50.78156862745098</v>
      </c>
      <c r="K57" s="12">
        <v>2589850</v>
      </c>
      <c r="L57" s="12">
        <f>H57-2111522</f>
        <v>438478</v>
      </c>
      <c r="M57" s="12">
        <v>478328</v>
      </c>
      <c r="N57" s="12">
        <f>E57*0.2</f>
        <v>510000</v>
      </c>
      <c r="O57" s="14">
        <v>0.82399999999999995</v>
      </c>
      <c r="P57" s="12">
        <f>L57/O57</f>
        <v>532133.49514563114</v>
      </c>
      <c r="Q57" s="15">
        <f>L57/O57/43560</f>
        <v>12.216104112617796</v>
      </c>
      <c r="R57" s="15">
        <f>M57/O57/43560</f>
        <v>13.326334840015337</v>
      </c>
      <c r="S57" s="10" t="s">
        <v>24</v>
      </c>
    </row>
    <row r="58" spans="1:19" x14ac:dyDescent="0.25">
      <c r="A58" s="10" t="s">
        <v>2168</v>
      </c>
      <c r="B58" s="10" t="s">
        <v>2169</v>
      </c>
      <c r="C58" s="10" t="s">
        <v>2167</v>
      </c>
      <c r="D58" s="11">
        <v>45461</v>
      </c>
      <c r="E58" s="12">
        <v>1050000</v>
      </c>
      <c r="F58" s="10" t="s">
        <v>29</v>
      </c>
      <c r="G58" s="10" t="s">
        <v>23</v>
      </c>
      <c r="H58" s="12">
        <v>1050000</v>
      </c>
      <c r="I58" s="12">
        <v>271090</v>
      </c>
      <c r="J58" s="13">
        <f>I58/H58*100</f>
        <v>25.818095238095239</v>
      </c>
      <c r="K58" s="12">
        <v>542172</v>
      </c>
      <c r="L58" s="12">
        <f>H58-0</f>
        <v>1050000</v>
      </c>
      <c r="M58" s="12">
        <v>535592</v>
      </c>
      <c r="N58" s="12">
        <f>E58*0.2</f>
        <v>210000</v>
      </c>
      <c r="O58" s="14">
        <v>1.23</v>
      </c>
      <c r="P58" s="12">
        <f>L58/O58</f>
        <v>853658.53658536589</v>
      </c>
      <c r="Q58" s="15">
        <f>L58/O58/43560</f>
        <v>19.597303411050639</v>
      </c>
      <c r="R58" s="15">
        <f>M58/O58/43560</f>
        <v>9.9963418366966028</v>
      </c>
      <c r="S58" s="10" t="s">
        <v>24</v>
      </c>
    </row>
    <row r="59" spans="1:19" x14ac:dyDescent="0.25">
      <c r="A59" s="10" t="s">
        <v>2170</v>
      </c>
      <c r="B59" s="10" t="s">
        <v>2171</v>
      </c>
      <c r="C59" s="10" t="s">
        <v>2167</v>
      </c>
      <c r="D59" s="11">
        <v>45356</v>
      </c>
      <c r="E59" s="12">
        <v>1525000</v>
      </c>
      <c r="F59" s="10" t="s">
        <v>29</v>
      </c>
      <c r="G59" s="10" t="s">
        <v>23</v>
      </c>
      <c r="H59" s="12">
        <v>1525000</v>
      </c>
      <c r="I59" s="12">
        <v>586360</v>
      </c>
      <c r="J59" s="13">
        <f>I59/H59*100</f>
        <v>38.44983606557377</v>
      </c>
      <c r="K59" s="12">
        <v>1172727</v>
      </c>
      <c r="L59" s="12">
        <f>H59-734797</f>
        <v>790203</v>
      </c>
      <c r="M59" s="12">
        <v>437930</v>
      </c>
      <c r="N59" s="12">
        <f>E59*0.2</f>
        <v>305000</v>
      </c>
      <c r="O59" s="14">
        <v>0.73899999999999999</v>
      </c>
      <c r="P59" s="12">
        <f>L59/O59</f>
        <v>1069286.8741542625</v>
      </c>
      <c r="Q59" s="15">
        <f>L59/O59/43560</f>
        <v>24.547448901613006</v>
      </c>
      <c r="R59" s="15">
        <f>M59/O59/43560</f>
        <v>13.604180568136774</v>
      </c>
      <c r="S59" s="10" t="s">
        <v>24</v>
      </c>
    </row>
    <row r="60" spans="1:19" ht="15.75" thickBot="1" x14ac:dyDescent="0.3">
      <c r="A60" s="16"/>
      <c r="B60" s="16"/>
      <c r="C60" s="16"/>
      <c r="D60" s="17"/>
      <c r="E60" s="18"/>
      <c r="F60" s="16"/>
      <c r="G60" s="16"/>
      <c r="H60" s="18"/>
      <c r="I60" s="18"/>
      <c r="J60" s="19"/>
      <c r="K60" s="18"/>
      <c r="L60" s="18">
        <f>AVERAGE(L57:L59)</f>
        <v>759560.33333333337</v>
      </c>
      <c r="M60" s="18">
        <f>AVERAGE(M57:M59)</f>
        <v>483950</v>
      </c>
      <c r="N60" s="18">
        <f>AVERAGE(N57:N59)</f>
        <v>341666.66666666669</v>
      </c>
      <c r="O60" s="20"/>
      <c r="P60" s="18"/>
      <c r="Q60" s="21">
        <f>AVERAGE(Q57:Q59)</f>
        <v>18.78695214176048</v>
      </c>
      <c r="R60" s="21">
        <f>AVERAGE(R57:R59)</f>
        <v>12.308952414949571</v>
      </c>
      <c r="S60" s="16"/>
    </row>
    <row r="61" spans="1:19" ht="15.75" thickTop="1" x14ac:dyDescent="0.25">
      <c r="A61" s="10"/>
      <c r="B61" s="10"/>
      <c r="C61" s="10"/>
      <c r="D61" s="11"/>
      <c r="E61" s="12"/>
      <c r="F61" s="10"/>
      <c r="G61" s="10"/>
      <c r="H61" s="12"/>
      <c r="I61" s="12"/>
      <c r="J61" s="13"/>
      <c r="K61" s="12"/>
      <c r="L61" s="12"/>
      <c r="M61" s="12"/>
      <c r="N61" s="12"/>
      <c r="O61" s="14"/>
      <c r="P61" s="12"/>
      <c r="Q61" s="15"/>
      <c r="R61" s="15"/>
      <c r="S61" s="10"/>
    </row>
    <row r="62" spans="1:19" x14ac:dyDescent="0.25">
      <c r="A62" s="10"/>
      <c r="B62" s="10"/>
      <c r="C62" s="10"/>
      <c r="D62" s="11"/>
      <c r="E62" s="12"/>
      <c r="F62" s="10"/>
      <c r="G62" s="10"/>
      <c r="H62" s="12"/>
      <c r="I62" s="12"/>
      <c r="J62" s="13"/>
      <c r="K62" s="12"/>
      <c r="L62" s="12"/>
      <c r="M62" s="12"/>
      <c r="N62" s="12"/>
      <c r="O62" s="14"/>
      <c r="P62" s="12"/>
      <c r="Q62" s="15"/>
      <c r="R62" s="15"/>
      <c r="S62" s="10"/>
    </row>
    <row r="63" spans="1:19" ht="14.25" customHeight="1" x14ac:dyDescent="0.25">
      <c r="A63" s="10" t="s">
        <v>2172</v>
      </c>
      <c r="B63" s="10" t="s">
        <v>2173</v>
      </c>
      <c r="C63" s="10" t="s">
        <v>2174</v>
      </c>
      <c r="D63" s="11">
        <v>45043</v>
      </c>
      <c r="E63" s="12">
        <v>415000</v>
      </c>
      <c r="F63" s="10" t="s">
        <v>22</v>
      </c>
      <c r="G63" s="10" t="s">
        <v>23</v>
      </c>
      <c r="H63" s="12">
        <v>415000</v>
      </c>
      <c r="I63" s="12">
        <v>190220</v>
      </c>
      <c r="J63" s="13">
        <f>I63/H63*100</f>
        <v>45.836144578313252</v>
      </c>
      <c r="K63" s="12">
        <v>380438</v>
      </c>
      <c r="L63" s="12">
        <f>H63-280438</f>
        <v>134562</v>
      </c>
      <c r="M63" s="12">
        <v>100000</v>
      </c>
      <c r="N63" s="12">
        <f>E63*0.2</f>
        <v>83000</v>
      </c>
      <c r="O63" s="14">
        <v>1</v>
      </c>
      <c r="P63" s="12">
        <f>L63/O63</f>
        <v>134562</v>
      </c>
      <c r="Q63" s="15">
        <f>L63/O63/43560</f>
        <v>3.0891184573002755</v>
      </c>
      <c r="R63" s="15">
        <f>M63/O63/43560</f>
        <v>2.2956841138659319</v>
      </c>
      <c r="S63" s="10" t="s">
        <v>97</v>
      </c>
    </row>
    <row r="64" spans="1:19" x14ac:dyDescent="0.25">
      <c r="A64" s="10" t="s">
        <v>2175</v>
      </c>
      <c r="B64" s="10" t="s">
        <v>2176</v>
      </c>
      <c r="C64" s="10" t="s">
        <v>2174</v>
      </c>
      <c r="D64" s="11">
        <v>45639</v>
      </c>
      <c r="E64" s="12">
        <v>320000</v>
      </c>
      <c r="F64" s="10" t="s">
        <v>29</v>
      </c>
      <c r="G64" s="10" t="s">
        <v>23</v>
      </c>
      <c r="H64" s="12">
        <v>320000</v>
      </c>
      <c r="I64" s="12">
        <v>201230</v>
      </c>
      <c r="J64" s="13">
        <f>I64/H64*100</f>
        <v>62.884375000000006</v>
      </c>
      <c r="K64" s="12">
        <v>402467</v>
      </c>
      <c r="L64" s="12">
        <f>H64-302467</f>
        <v>17533</v>
      </c>
      <c r="M64" s="12">
        <v>100000</v>
      </c>
      <c r="N64" s="12">
        <f>E64*0.2</f>
        <v>64000</v>
      </c>
      <c r="O64" s="14">
        <v>1</v>
      </c>
      <c r="P64" s="12">
        <f>L64/O64</f>
        <v>17533</v>
      </c>
      <c r="Q64" s="15">
        <f>L64/O64/43560</f>
        <v>0.40250229568411389</v>
      </c>
      <c r="R64" s="15">
        <f>M64/O64/43560</f>
        <v>2.2956841138659319</v>
      </c>
      <c r="S64" s="10" t="s">
        <v>97</v>
      </c>
    </row>
    <row r="65" spans="1:19" x14ac:dyDescent="0.25">
      <c r="A65" s="10" t="s">
        <v>2177</v>
      </c>
      <c r="B65" s="10" t="s">
        <v>2178</v>
      </c>
      <c r="C65" s="10" t="s">
        <v>2174</v>
      </c>
      <c r="D65" s="11">
        <v>45629</v>
      </c>
      <c r="E65" s="12">
        <v>335000</v>
      </c>
      <c r="F65" s="10" t="s">
        <v>22</v>
      </c>
      <c r="G65" s="10" t="s">
        <v>23</v>
      </c>
      <c r="H65" s="12">
        <v>335000</v>
      </c>
      <c r="I65" s="12">
        <v>190410</v>
      </c>
      <c r="J65" s="13">
        <f>I65/H65*100</f>
        <v>56.838805970149252</v>
      </c>
      <c r="K65" s="12">
        <v>380813</v>
      </c>
      <c r="L65" s="12">
        <f>H65-280813</f>
        <v>54187</v>
      </c>
      <c r="M65" s="12">
        <v>100000</v>
      </c>
      <c r="N65" s="12">
        <f>E65*0.2</f>
        <v>67000</v>
      </c>
      <c r="O65" s="14">
        <v>1</v>
      </c>
      <c r="P65" s="12">
        <f>L65/O65</f>
        <v>54187</v>
      </c>
      <c r="Q65" s="15">
        <f>L65/O65/43560</f>
        <v>1.2439623507805326</v>
      </c>
      <c r="R65" s="15">
        <f>M65/O65/43560</f>
        <v>2.2956841138659319</v>
      </c>
      <c r="S65" s="10" t="s">
        <v>97</v>
      </c>
    </row>
    <row r="66" spans="1:19" x14ac:dyDescent="0.25">
      <c r="A66" s="10" t="s">
        <v>2179</v>
      </c>
      <c r="B66" s="10" t="s">
        <v>2180</v>
      </c>
      <c r="C66" s="10" t="s">
        <v>2174</v>
      </c>
      <c r="D66" s="11">
        <v>45408</v>
      </c>
      <c r="E66" s="12">
        <v>325000</v>
      </c>
      <c r="F66" s="10" t="s">
        <v>22</v>
      </c>
      <c r="G66" s="10" t="s">
        <v>23</v>
      </c>
      <c r="H66" s="12">
        <v>325000</v>
      </c>
      <c r="I66" s="12">
        <v>203200</v>
      </c>
      <c r="J66" s="13">
        <f>I66/H66*100</f>
        <v>62.523076923076928</v>
      </c>
      <c r="K66" s="12">
        <v>406392</v>
      </c>
      <c r="L66" s="12">
        <f>H66-306392</f>
        <v>18608</v>
      </c>
      <c r="M66" s="12">
        <v>100000</v>
      </c>
      <c r="N66" s="12">
        <f>E66*0.2</f>
        <v>65000</v>
      </c>
      <c r="O66" s="14">
        <v>1</v>
      </c>
      <c r="P66" s="12">
        <f>L66/O66</f>
        <v>18608</v>
      </c>
      <c r="Q66" s="15">
        <f>L66/O66/43560</f>
        <v>0.42718089990817265</v>
      </c>
      <c r="R66" s="15">
        <f>M66/O66/43560</f>
        <v>2.2956841138659319</v>
      </c>
      <c r="S66" s="10" t="s">
        <v>97</v>
      </c>
    </row>
    <row r="67" spans="1:19" x14ac:dyDescent="0.25">
      <c r="A67" s="10" t="s">
        <v>2181</v>
      </c>
      <c r="B67" s="10" t="s">
        <v>2182</v>
      </c>
      <c r="C67" s="10" t="s">
        <v>2174</v>
      </c>
      <c r="D67" s="11">
        <v>45600</v>
      </c>
      <c r="E67" s="12">
        <v>399900</v>
      </c>
      <c r="F67" s="10" t="s">
        <v>22</v>
      </c>
      <c r="G67" s="10" t="s">
        <v>23</v>
      </c>
      <c r="H67" s="12">
        <v>399900</v>
      </c>
      <c r="I67" s="12">
        <v>193860</v>
      </c>
      <c r="J67" s="13">
        <f>I67/H67*100</f>
        <v>48.477119279819952</v>
      </c>
      <c r="K67" s="12">
        <v>387719</v>
      </c>
      <c r="L67" s="12">
        <f>H67-287719</f>
        <v>112181</v>
      </c>
      <c r="M67" s="12">
        <v>100000</v>
      </c>
      <c r="N67" s="12">
        <f>E67*0.2</f>
        <v>79980</v>
      </c>
      <c r="O67" s="14">
        <v>1</v>
      </c>
      <c r="P67" s="12">
        <f>L67/O67</f>
        <v>112181</v>
      </c>
      <c r="Q67" s="15">
        <f>L67/O67/43560</f>
        <v>2.5753213957759411</v>
      </c>
      <c r="R67" s="15">
        <f>M67/O67/43560</f>
        <v>2.2956841138659319</v>
      </c>
      <c r="S67" s="10" t="s">
        <v>97</v>
      </c>
    </row>
    <row r="68" spans="1:19" ht="15.75" thickBot="1" x14ac:dyDescent="0.3">
      <c r="A68" s="16"/>
      <c r="B68" s="16"/>
      <c r="C68" s="16"/>
      <c r="D68" s="17"/>
      <c r="E68" s="18"/>
      <c r="F68" s="16"/>
      <c r="G68" s="16"/>
      <c r="H68" s="18"/>
      <c r="I68" s="18"/>
      <c r="J68" s="19"/>
      <c r="K68" s="18"/>
      <c r="L68" s="18">
        <f>AVERAGE(L63:L67)</f>
        <v>67414.2</v>
      </c>
      <c r="M68" s="18">
        <f>AVERAGE(M63:M67)</f>
        <v>100000</v>
      </c>
      <c r="N68" s="18">
        <f>AVERAGE(N63:N67)</f>
        <v>71796</v>
      </c>
      <c r="O68" s="20"/>
      <c r="P68" s="18"/>
      <c r="Q68" s="21">
        <f>AVERAGE(Q63:Q67)</f>
        <v>1.547617079889807</v>
      </c>
      <c r="R68" s="21">
        <f>AVERAGE(R63:R67)</f>
        <v>2.2956841138659319</v>
      </c>
      <c r="S68" s="16"/>
    </row>
    <row r="69" spans="1:19" ht="15.75" thickTop="1" x14ac:dyDescent="0.25">
      <c r="A69" s="10"/>
      <c r="B69" s="10"/>
      <c r="C69" s="10"/>
      <c r="D69" s="11"/>
      <c r="E69" s="12"/>
      <c r="F69" s="10"/>
      <c r="G69" s="10"/>
      <c r="H69" s="12"/>
      <c r="I69" s="12"/>
      <c r="J69" s="13"/>
      <c r="K69" s="12"/>
      <c r="L69" s="12"/>
      <c r="M69" s="12"/>
      <c r="N69" s="12"/>
      <c r="O69" s="14"/>
      <c r="P69" s="12"/>
      <c r="Q69" s="15"/>
      <c r="R69" s="15"/>
      <c r="S69" s="10"/>
    </row>
    <row r="70" spans="1:19" x14ac:dyDescent="0.25">
      <c r="A70" s="10"/>
      <c r="B70" s="10"/>
      <c r="C70" s="10"/>
      <c r="D70" s="11"/>
      <c r="E70" s="12"/>
      <c r="F70" s="10"/>
      <c r="G70" s="10"/>
      <c r="H70" s="12"/>
      <c r="I70" s="12"/>
      <c r="J70" s="13"/>
      <c r="K70" s="12"/>
      <c r="L70" s="12"/>
      <c r="M70" s="12"/>
      <c r="N70" s="12"/>
      <c r="O70" s="14"/>
      <c r="P70" s="12"/>
      <c r="Q70" s="15"/>
      <c r="R70" s="15"/>
      <c r="S70" s="10"/>
    </row>
    <row r="71" spans="1:19" x14ac:dyDescent="0.25">
      <c r="A71" s="10" t="s">
        <v>2183</v>
      </c>
      <c r="B71" s="10" t="s">
        <v>2184</v>
      </c>
      <c r="C71" s="10" t="s">
        <v>2185</v>
      </c>
      <c r="D71" s="11">
        <v>45194</v>
      </c>
      <c r="E71" s="12">
        <v>860000</v>
      </c>
      <c r="F71" s="10" t="s">
        <v>29</v>
      </c>
      <c r="G71" s="10" t="s">
        <v>23</v>
      </c>
      <c r="H71" s="12">
        <v>860000</v>
      </c>
      <c r="I71" s="12">
        <v>339480</v>
      </c>
      <c r="J71" s="13">
        <f>I71/H71*100</f>
        <v>39.474418604651163</v>
      </c>
      <c r="K71" s="12">
        <v>678969</v>
      </c>
      <c r="L71" s="12">
        <f>H71-528969</f>
        <v>331031</v>
      </c>
      <c r="M71" s="12">
        <v>150000</v>
      </c>
      <c r="N71" s="12">
        <f>E71*0.2</f>
        <v>172000</v>
      </c>
      <c r="O71" s="14">
        <v>1.7569999999999999</v>
      </c>
      <c r="P71" s="12">
        <f>L71/O71</f>
        <v>188406.94365395562</v>
      </c>
      <c r="Q71" s="15">
        <f>L71/O71/43560</f>
        <v>4.3252282748841973</v>
      </c>
      <c r="R71" s="15">
        <f>M71/O71/43560</f>
        <v>1.959889681729595</v>
      </c>
      <c r="S71" s="10" t="s">
        <v>97</v>
      </c>
    </row>
    <row r="72" spans="1:19" ht="15.75" thickBot="1" x14ac:dyDescent="0.3">
      <c r="A72" s="16"/>
      <c r="B72" s="16"/>
      <c r="C72" s="16"/>
      <c r="D72" s="17"/>
      <c r="E72" s="18"/>
      <c r="F72" s="16"/>
      <c r="G72" s="16"/>
      <c r="H72" s="18"/>
      <c r="I72" s="18"/>
      <c r="J72" s="19"/>
      <c r="K72" s="18"/>
      <c r="L72" s="18">
        <f>AVERAGE(L71)</f>
        <v>331031</v>
      </c>
      <c r="M72" s="18">
        <f>AVERAGE(M71)</f>
        <v>150000</v>
      </c>
      <c r="N72" s="18">
        <f>AVERAGE(N71)</f>
        <v>172000</v>
      </c>
      <c r="O72" s="20"/>
      <c r="P72" s="18"/>
      <c r="Q72" s="21">
        <f>AVERAGE(Q71)</f>
        <v>4.3252282748841973</v>
      </c>
      <c r="R72" s="21">
        <f>AVERAGE(R71)</f>
        <v>1.959889681729595</v>
      </c>
      <c r="S72" s="16"/>
    </row>
    <row r="73" spans="1:19" ht="15.75" thickTop="1" x14ac:dyDescent="0.25">
      <c r="A73" s="10"/>
      <c r="B73" s="10"/>
      <c r="C73" s="10"/>
      <c r="D73" s="11"/>
      <c r="E73" s="12"/>
      <c r="F73" s="10"/>
      <c r="G73" s="10"/>
      <c r="H73" s="12"/>
      <c r="I73" s="12"/>
      <c r="J73" s="13"/>
      <c r="K73" s="12"/>
      <c r="L73" s="12"/>
      <c r="M73" s="12"/>
      <c r="N73" s="12"/>
      <c r="O73" s="14"/>
      <c r="P73" s="12"/>
      <c r="Q73" s="15"/>
      <c r="R73" s="15"/>
      <c r="S73" s="10"/>
    </row>
    <row r="74" spans="1:19" x14ac:dyDescent="0.25">
      <c r="A74" s="10"/>
      <c r="B74" s="10"/>
      <c r="C74" s="10"/>
      <c r="D74" s="11"/>
      <c r="E74" s="12"/>
      <c r="F74" s="10"/>
      <c r="G74" s="10"/>
      <c r="H74" s="12"/>
      <c r="I74" s="12"/>
      <c r="J74" s="13"/>
      <c r="K74" s="12"/>
      <c r="L74" s="12"/>
      <c r="M74" s="12"/>
      <c r="N74" s="12"/>
      <c r="O74" s="14"/>
      <c r="P74" s="12"/>
      <c r="Q74" s="15"/>
      <c r="R74" s="15"/>
      <c r="S74" s="10"/>
    </row>
    <row r="75" spans="1:19" x14ac:dyDescent="0.25">
      <c r="A75" s="10" t="s">
        <v>2186</v>
      </c>
      <c r="B75" s="10" t="s">
        <v>2187</v>
      </c>
      <c r="C75" s="10" t="s">
        <v>2188</v>
      </c>
      <c r="D75" s="11">
        <v>45337</v>
      </c>
      <c r="E75" s="12">
        <v>580000</v>
      </c>
      <c r="F75" s="10" t="s">
        <v>22</v>
      </c>
      <c r="G75" s="10" t="s">
        <v>23</v>
      </c>
      <c r="H75" s="12">
        <v>580000</v>
      </c>
      <c r="I75" s="12">
        <v>311900</v>
      </c>
      <c r="J75" s="13">
        <f>I75/H75*100</f>
        <v>53.775862068965516</v>
      </c>
      <c r="K75" s="12">
        <v>623808</v>
      </c>
      <c r="L75" s="12">
        <f>H75-453808</f>
        <v>126192</v>
      </c>
      <c r="M75" s="12">
        <v>170000</v>
      </c>
      <c r="N75" s="12">
        <f>E75*0.2</f>
        <v>116000</v>
      </c>
      <c r="O75" s="14">
        <v>1</v>
      </c>
      <c r="P75" s="12">
        <f>L75/O75</f>
        <v>126192</v>
      </c>
      <c r="Q75" s="15">
        <f>L75/O75/43560</f>
        <v>2.896969696969697</v>
      </c>
      <c r="R75" s="15">
        <f>M75/O75/43560</f>
        <v>3.9026629935720845</v>
      </c>
      <c r="S75" s="10" t="s">
        <v>97</v>
      </c>
    </row>
    <row r="76" spans="1:19" x14ac:dyDescent="0.25">
      <c r="A76" s="10" t="s">
        <v>2189</v>
      </c>
      <c r="B76" s="10" t="s">
        <v>2190</v>
      </c>
      <c r="C76" s="10" t="s">
        <v>2188</v>
      </c>
      <c r="D76" s="11">
        <v>45565</v>
      </c>
      <c r="E76" s="12">
        <v>625000</v>
      </c>
      <c r="F76" s="10" t="s">
        <v>22</v>
      </c>
      <c r="G76" s="10" t="s">
        <v>23</v>
      </c>
      <c r="H76" s="12">
        <v>625000</v>
      </c>
      <c r="I76" s="12">
        <v>294120</v>
      </c>
      <c r="J76" s="13">
        <f>I76/H76*100</f>
        <v>47.059200000000004</v>
      </c>
      <c r="K76" s="12">
        <v>588242</v>
      </c>
      <c r="L76" s="12">
        <f>H76-418242</f>
        <v>206758</v>
      </c>
      <c r="M76" s="12">
        <v>170000</v>
      </c>
      <c r="N76" s="12">
        <f>E76*0.2</f>
        <v>125000</v>
      </c>
      <c r="O76" s="14">
        <v>1</v>
      </c>
      <c r="P76" s="12">
        <f>L76/O76</f>
        <v>206758</v>
      </c>
      <c r="Q76" s="15">
        <f>L76/O76/43560</f>
        <v>4.7465105601469242</v>
      </c>
      <c r="R76" s="15">
        <f>M76/O76/43560</f>
        <v>3.9026629935720845</v>
      </c>
      <c r="S76" s="10" t="s">
        <v>97</v>
      </c>
    </row>
    <row r="77" spans="1:19" ht="15.75" thickBot="1" x14ac:dyDescent="0.3">
      <c r="A77" s="16"/>
      <c r="B77" s="16"/>
      <c r="C77" s="16"/>
      <c r="D77" s="17"/>
      <c r="E77" s="18"/>
      <c r="F77" s="16"/>
      <c r="G77" s="16"/>
      <c r="H77" s="18"/>
      <c r="I77" s="18"/>
      <c r="J77" s="19"/>
      <c r="K77" s="18"/>
      <c r="L77" s="18">
        <f>AVERAGE(L75:L76)</f>
        <v>166475</v>
      </c>
      <c r="M77" s="18">
        <f>AVERAGE(M75:M76)</f>
        <v>170000</v>
      </c>
      <c r="N77" s="18">
        <f>AVERAGE(N75:N76)</f>
        <v>120500</v>
      </c>
      <c r="O77" s="20"/>
      <c r="P77" s="18"/>
      <c r="Q77" s="21">
        <f>AVERAGE(Q75:Q76)</f>
        <v>3.8217401285583108</v>
      </c>
      <c r="R77" s="21">
        <f>AVERAGE(R75:R76)</f>
        <v>3.9026629935720845</v>
      </c>
      <c r="S77" s="16"/>
    </row>
    <row r="78" spans="1:19" ht="15.75" thickTop="1" x14ac:dyDescent="0.25"/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753B9-0651-4D6D-B26F-6F992EB95F75}">
  <dimension ref="A1:S60"/>
  <sheetViews>
    <sheetView workbookViewId="0">
      <selection sqref="A1:S1"/>
    </sheetView>
  </sheetViews>
  <sheetFormatPr defaultRowHeight="15" x14ac:dyDescent="0.25"/>
  <cols>
    <col min="1" max="1" width="12.42578125" bestFit="1" customWidth="1"/>
    <col min="2" max="2" width="21.140625" bestFit="1" customWidth="1"/>
    <col min="3" max="3" width="12.5703125" bestFit="1" customWidth="1"/>
    <col min="7" max="7" width="13.140625" bestFit="1" customWidth="1"/>
    <col min="13" max="13" width="9.5703125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180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2191</v>
      </c>
      <c r="B2" s="10" t="s">
        <v>2192</v>
      </c>
      <c r="C2" s="10" t="s">
        <v>2193</v>
      </c>
      <c r="D2" s="11">
        <v>45518</v>
      </c>
      <c r="E2" s="12">
        <v>1477000</v>
      </c>
      <c r="F2" s="10" t="s">
        <v>29</v>
      </c>
      <c r="G2" s="10" t="s">
        <v>23</v>
      </c>
      <c r="H2" s="12">
        <v>1477000</v>
      </c>
      <c r="I2" s="12">
        <v>572810</v>
      </c>
      <c r="J2" s="13">
        <f>I2/H2*100</f>
        <v>38.781990521327018</v>
      </c>
      <c r="K2" s="12">
        <v>1145628</v>
      </c>
      <c r="L2" s="12">
        <f>H2-507625</f>
        <v>969375</v>
      </c>
      <c r="M2" s="12">
        <v>638003</v>
      </c>
      <c r="N2" s="12">
        <f>E2*0.2</f>
        <v>295400</v>
      </c>
      <c r="O2" s="14">
        <v>0.86299999999999999</v>
      </c>
      <c r="P2" s="12">
        <f>L2/O2</f>
        <v>1123261.8771726536</v>
      </c>
      <c r="Q2" s="15">
        <f>L2/O2/43560</f>
        <v>25.786544471364866</v>
      </c>
      <c r="R2" s="15">
        <f>M2/O2/43560</f>
        <v>16.971649498248045</v>
      </c>
      <c r="S2" s="10" t="s">
        <v>24</v>
      </c>
    </row>
    <row r="3" spans="1:19" x14ac:dyDescent="0.25">
      <c r="A3" s="10" t="s">
        <v>2194</v>
      </c>
      <c r="B3" s="10" t="s">
        <v>2195</v>
      </c>
      <c r="C3" s="10" t="s">
        <v>2193</v>
      </c>
      <c r="D3" s="11">
        <v>45084</v>
      </c>
      <c r="E3" s="12">
        <v>1210000</v>
      </c>
      <c r="F3" s="10" t="s">
        <v>29</v>
      </c>
      <c r="G3" s="10" t="s">
        <v>23</v>
      </c>
      <c r="H3" s="12">
        <v>1210000</v>
      </c>
      <c r="I3" s="12">
        <v>522720</v>
      </c>
      <c r="J3" s="13">
        <f>I3/H3*100</f>
        <v>43.2</v>
      </c>
      <c r="K3" s="12">
        <v>1045449</v>
      </c>
      <c r="L3" s="12">
        <f>H3-537888</f>
        <v>672112</v>
      </c>
      <c r="M3" s="12">
        <v>507561</v>
      </c>
      <c r="N3" s="12">
        <f>E3*0.2</f>
        <v>242000</v>
      </c>
      <c r="O3" s="14">
        <v>0.84</v>
      </c>
      <c r="P3" s="12">
        <f>L3/O3</f>
        <v>800133.33333333337</v>
      </c>
      <c r="Q3" s="15">
        <f>L3/O3/43560</f>
        <v>18.368533823079279</v>
      </c>
      <c r="R3" s="15">
        <f>M3/O3/43560</f>
        <v>13.871425291879836</v>
      </c>
      <c r="S3" s="10" t="s">
        <v>24</v>
      </c>
    </row>
    <row r="4" spans="1:19" ht="15.75" thickBot="1" x14ac:dyDescent="0.3">
      <c r="A4" s="16"/>
      <c r="B4" s="16"/>
      <c r="C4" s="16"/>
      <c r="D4" s="17"/>
      <c r="E4" s="18"/>
      <c r="F4" s="16"/>
      <c r="G4" s="16"/>
      <c r="H4" s="18"/>
      <c r="I4" s="18"/>
      <c r="J4" s="19"/>
      <c r="K4" s="18"/>
      <c r="L4" s="18">
        <f>AVERAGE(L2:L3)</f>
        <v>820743.5</v>
      </c>
      <c r="M4" s="18">
        <f>AVERAGE(M2:M3)</f>
        <v>572782</v>
      </c>
      <c r="N4" s="18">
        <f>AVERAGE(N2:N3)</f>
        <v>268700</v>
      </c>
      <c r="O4" s="20"/>
      <c r="P4" s="18"/>
      <c r="Q4" s="21">
        <f>AVERAGE(Q2:Q3)</f>
        <v>22.077539147222073</v>
      </c>
      <c r="R4" s="21">
        <f>AVERAGE(R2:R3)</f>
        <v>15.42153739506394</v>
      </c>
      <c r="S4" s="16"/>
    </row>
    <row r="5" spans="1:19" ht="15.75" thickTop="1" x14ac:dyDescent="0.25">
      <c r="A5" s="10"/>
      <c r="B5" s="10"/>
      <c r="C5" s="10"/>
      <c r="D5" s="11"/>
      <c r="E5" s="12"/>
      <c r="F5" s="10"/>
      <c r="G5" s="10"/>
      <c r="H5" s="12"/>
      <c r="I5" s="12"/>
      <c r="J5" s="13"/>
      <c r="K5" s="12"/>
      <c r="L5" s="12"/>
      <c r="M5" s="12"/>
      <c r="N5" s="12"/>
      <c r="O5" s="14"/>
      <c r="P5" s="12"/>
      <c r="Q5" s="15"/>
      <c r="R5" s="15"/>
      <c r="S5" s="10"/>
    </row>
    <row r="6" spans="1:19" x14ac:dyDescent="0.25">
      <c r="A6" s="10"/>
      <c r="B6" s="10"/>
      <c r="C6" s="10"/>
      <c r="D6" s="11"/>
      <c r="E6" s="12"/>
      <c r="F6" s="10"/>
      <c r="G6" s="10"/>
      <c r="H6" s="12"/>
      <c r="I6" s="12"/>
      <c r="J6" s="13"/>
      <c r="K6" s="12"/>
      <c r="L6" s="12"/>
      <c r="M6" s="12"/>
      <c r="N6" s="12"/>
      <c r="O6" s="14"/>
      <c r="P6" s="12"/>
      <c r="Q6" s="15"/>
      <c r="R6" s="15"/>
      <c r="S6" s="10"/>
    </row>
    <row r="7" spans="1:19" x14ac:dyDescent="0.25">
      <c r="A7" s="10" t="s">
        <v>2196</v>
      </c>
      <c r="B7" s="10" t="s">
        <v>2197</v>
      </c>
      <c r="C7" s="10" t="s">
        <v>2198</v>
      </c>
      <c r="D7" s="11">
        <v>45205</v>
      </c>
      <c r="E7" s="12">
        <v>605000</v>
      </c>
      <c r="F7" s="10" t="s">
        <v>22</v>
      </c>
      <c r="G7" s="10" t="s">
        <v>23</v>
      </c>
      <c r="H7" s="12">
        <v>605000</v>
      </c>
      <c r="I7" s="12">
        <v>331110</v>
      </c>
      <c r="J7" s="13">
        <f t="shared" ref="J7:J20" si="0">I7/H7*100</f>
        <v>54.728925619834712</v>
      </c>
      <c r="K7" s="12">
        <v>662211</v>
      </c>
      <c r="L7" s="12">
        <f>H7-492327</f>
        <v>112673</v>
      </c>
      <c r="M7" s="12">
        <v>169884</v>
      </c>
      <c r="N7" s="12">
        <f t="shared" ref="N7:N20" si="1">E7*0.2</f>
        <v>121000</v>
      </c>
      <c r="O7" s="14">
        <v>0.39</v>
      </c>
      <c r="P7" s="12">
        <f t="shared" ref="P7:P20" si="2">L7/O7</f>
        <v>288905.12820512819</v>
      </c>
      <c r="Q7" s="15">
        <f t="shared" ref="Q7:Q20" si="3">L7/O7/43560</f>
        <v>6.6323491323491321</v>
      </c>
      <c r="R7" s="15">
        <f t="shared" ref="R7:R20" si="4">M7/O7/43560</f>
        <v>10</v>
      </c>
      <c r="S7" s="10" t="s">
        <v>24</v>
      </c>
    </row>
    <row r="8" spans="1:19" x14ac:dyDescent="0.25">
      <c r="A8" s="10" t="s">
        <v>2199</v>
      </c>
      <c r="B8" s="10" t="s">
        <v>2200</v>
      </c>
      <c r="C8" s="10" t="s">
        <v>2198</v>
      </c>
      <c r="D8" s="11">
        <v>45219</v>
      </c>
      <c r="E8" s="12">
        <v>700000</v>
      </c>
      <c r="F8" s="10" t="s">
        <v>29</v>
      </c>
      <c r="G8" s="10" t="s">
        <v>23</v>
      </c>
      <c r="H8" s="12">
        <v>700000</v>
      </c>
      <c r="I8" s="12">
        <v>280660</v>
      </c>
      <c r="J8" s="13">
        <f t="shared" si="0"/>
        <v>40.094285714285718</v>
      </c>
      <c r="K8" s="12">
        <v>561325</v>
      </c>
      <c r="L8" s="12">
        <f>H8-381858</f>
        <v>318142</v>
      </c>
      <c r="M8" s="12">
        <v>179467</v>
      </c>
      <c r="N8" s="12">
        <f t="shared" si="1"/>
        <v>140000</v>
      </c>
      <c r="O8" s="14">
        <v>0.41199999999999998</v>
      </c>
      <c r="P8" s="12">
        <f t="shared" si="2"/>
        <v>772189.32038834959</v>
      </c>
      <c r="Q8" s="15">
        <f t="shared" si="3"/>
        <v>17.727027557124647</v>
      </c>
      <c r="R8" s="15">
        <f t="shared" si="4"/>
        <v>9.9999888559023606</v>
      </c>
      <c r="S8" s="10" t="s">
        <v>24</v>
      </c>
    </row>
    <row r="9" spans="1:19" x14ac:dyDescent="0.25">
      <c r="A9" s="10" t="s">
        <v>2201</v>
      </c>
      <c r="B9" s="10" t="s">
        <v>2202</v>
      </c>
      <c r="C9" s="10" t="s">
        <v>2198</v>
      </c>
      <c r="D9" s="11">
        <v>45483</v>
      </c>
      <c r="E9" s="12">
        <v>510000</v>
      </c>
      <c r="F9" s="10" t="s">
        <v>22</v>
      </c>
      <c r="G9" s="10" t="s">
        <v>23</v>
      </c>
      <c r="H9" s="12">
        <v>510000</v>
      </c>
      <c r="I9" s="12">
        <v>257840</v>
      </c>
      <c r="J9" s="13">
        <f t="shared" si="0"/>
        <v>50.556862745098044</v>
      </c>
      <c r="K9" s="12">
        <v>515684</v>
      </c>
      <c r="L9" s="12">
        <f>H9-305794</f>
        <v>204206</v>
      </c>
      <c r="M9" s="12">
        <v>209890</v>
      </c>
      <c r="N9" s="12">
        <f t="shared" si="1"/>
        <v>102000</v>
      </c>
      <c r="O9" s="14">
        <v>0.51500000000000001</v>
      </c>
      <c r="P9" s="12">
        <f t="shared" si="2"/>
        <v>396516.50485436892</v>
      </c>
      <c r="Q9" s="15">
        <f t="shared" si="3"/>
        <v>9.1027664107981838</v>
      </c>
      <c r="R9" s="15">
        <f t="shared" si="4"/>
        <v>9.3561386147440864</v>
      </c>
      <c r="S9" s="10" t="s">
        <v>24</v>
      </c>
    </row>
    <row r="10" spans="1:19" x14ac:dyDescent="0.25">
      <c r="A10" s="10" t="s">
        <v>2203</v>
      </c>
      <c r="B10" s="10" t="s">
        <v>2204</v>
      </c>
      <c r="C10" s="10" t="s">
        <v>2198</v>
      </c>
      <c r="D10" s="11">
        <v>45056</v>
      </c>
      <c r="E10" s="12">
        <v>515000</v>
      </c>
      <c r="F10" s="10" t="s">
        <v>29</v>
      </c>
      <c r="G10" s="10" t="s">
        <v>23</v>
      </c>
      <c r="H10" s="12">
        <v>515000</v>
      </c>
      <c r="I10" s="12">
        <v>272970</v>
      </c>
      <c r="J10" s="13">
        <f t="shared" si="0"/>
        <v>53.003883495145629</v>
      </c>
      <c r="K10" s="12">
        <v>545944</v>
      </c>
      <c r="L10" s="12">
        <f>H10-373446</f>
        <v>141554</v>
      </c>
      <c r="M10" s="12">
        <v>172498</v>
      </c>
      <c r="N10" s="12">
        <f t="shared" si="1"/>
        <v>103000</v>
      </c>
      <c r="O10" s="14">
        <v>0.39600000000000002</v>
      </c>
      <c r="P10" s="12">
        <f t="shared" si="2"/>
        <v>357459.59595959593</v>
      </c>
      <c r="Q10" s="15">
        <f t="shared" si="3"/>
        <v>8.2061431579337913</v>
      </c>
      <c r="R10" s="15">
        <f t="shared" si="4"/>
        <v>10.000023188728422</v>
      </c>
      <c r="S10" s="10" t="s">
        <v>24</v>
      </c>
    </row>
    <row r="11" spans="1:19" x14ac:dyDescent="0.25">
      <c r="A11" s="10" t="s">
        <v>2205</v>
      </c>
      <c r="B11" s="10" t="s">
        <v>2206</v>
      </c>
      <c r="C11" s="10" t="s">
        <v>2198</v>
      </c>
      <c r="D11" s="11">
        <v>45688</v>
      </c>
      <c r="E11" s="12">
        <v>640000</v>
      </c>
      <c r="F11" s="10" t="s">
        <v>22</v>
      </c>
      <c r="G11" s="10" t="s">
        <v>23</v>
      </c>
      <c r="H11" s="12">
        <v>640000</v>
      </c>
      <c r="I11" s="12">
        <v>398140</v>
      </c>
      <c r="J11" s="13">
        <f t="shared" si="0"/>
        <v>62.209375000000001</v>
      </c>
      <c r="K11" s="12">
        <v>796281</v>
      </c>
      <c r="L11" s="12">
        <f>H11-537291</f>
        <v>102709</v>
      </c>
      <c r="M11" s="12">
        <v>258990</v>
      </c>
      <c r="N11" s="12">
        <f t="shared" si="1"/>
        <v>128000</v>
      </c>
      <c r="O11" s="14">
        <v>0.69699999999999995</v>
      </c>
      <c r="P11" s="12">
        <f t="shared" si="2"/>
        <v>147358.68005738882</v>
      </c>
      <c r="Q11" s="15">
        <f t="shared" si="3"/>
        <v>3.3828898084800003</v>
      </c>
      <c r="R11" s="15">
        <f t="shared" si="4"/>
        <v>8.5302615301311029</v>
      </c>
      <c r="S11" s="10" t="s">
        <v>24</v>
      </c>
    </row>
    <row r="12" spans="1:19" x14ac:dyDescent="0.25">
      <c r="A12" s="10" t="s">
        <v>2207</v>
      </c>
      <c r="B12" s="10" t="s">
        <v>2208</v>
      </c>
      <c r="C12" s="10" t="s">
        <v>2198</v>
      </c>
      <c r="D12" s="11">
        <v>45628</v>
      </c>
      <c r="E12" s="12">
        <v>708000</v>
      </c>
      <c r="F12" s="10" t="s">
        <v>22</v>
      </c>
      <c r="G12" s="10" t="s">
        <v>23</v>
      </c>
      <c r="H12" s="12">
        <v>708000</v>
      </c>
      <c r="I12" s="12">
        <v>283440</v>
      </c>
      <c r="J12" s="13">
        <f t="shared" si="0"/>
        <v>40.033898305084747</v>
      </c>
      <c r="K12" s="12">
        <v>566880</v>
      </c>
      <c r="L12" s="12">
        <f>H12-407450</f>
        <v>300550</v>
      </c>
      <c r="M12" s="12">
        <v>159430</v>
      </c>
      <c r="N12" s="12">
        <f t="shared" si="1"/>
        <v>141600</v>
      </c>
      <c r="O12" s="14">
        <v>0.36599999999999999</v>
      </c>
      <c r="P12" s="12">
        <f t="shared" si="2"/>
        <v>821174.86338797817</v>
      </c>
      <c r="Q12" s="15">
        <f t="shared" si="3"/>
        <v>18.851580885858084</v>
      </c>
      <c r="R12" s="15">
        <f t="shared" si="4"/>
        <v>10.000025089443868</v>
      </c>
      <c r="S12" s="10" t="s">
        <v>24</v>
      </c>
    </row>
    <row r="13" spans="1:19" x14ac:dyDescent="0.25">
      <c r="A13" s="10" t="s">
        <v>2209</v>
      </c>
      <c r="B13" s="10" t="s">
        <v>2210</v>
      </c>
      <c r="C13" s="10" t="s">
        <v>2198</v>
      </c>
      <c r="D13" s="11">
        <v>45264</v>
      </c>
      <c r="E13" s="12">
        <v>756000</v>
      </c>
      <c r="F13" s="10" t="s">
        <v>22</v>
      </c>
      <c r="G13" s="10" t="s">
        <v>23</v>
      </c>
      <c r="H13" s="12">
        <v>756000</v>
      </c>
      <c r="I13" s="12">
        <v>334100</v>
      </c>
      <c r="J13" s="13">
        <f t="shared" si="0"/>
        <v>44.193121693121697</v>
      </c>
      <c r="K13" s="12">
        <v>668193</v>
      </c>
      <c r="L13" s="12">
        <f>H13-525316</f>
        <v>230684</v>
      </c>
      <c r="M13" s="12">
        <v>142877</v>
      </c>
      <c r="N13" s="12">
        <f t="shared" si="1"/>
        <v>151200</v>
      </c>
      <c r="O13" s="14">
        <v>0.32800000000000001</v>
      </c>
      <c r="P13" s="12">
        <f t="shared" si="2"/>
        <v>703304.87804878049</v>
      </c>
      <c r="Q13" s="15">
        <f t="shared" si="3"/>
        <v>16.145658357410021</v>
      </c>
      <c r="R13" s="15">
        <f t="shared" si="4"/>
        <v>10.000013998073864</v>
      </c>
      <c r="S13" s="10" t="s">
        <v>24</v>
      </c>
    </row>
    <row r="14" spans="1:19" x14ac:dyDescent="0.25">
      <c r="A14" s="10" t="s">
        <v>2211</v>
      </c>
      <c r="B14" s="10" t="s">
        <v>2212</v>
      </c>
      <c r="C14" s="10" t="s">
        <v>2198</v>
      </c>
      <c r="D14" s="11">
        <v>45695</v>
      </c>
      <c r="E14" s="12">
        <v>675000</v>
      </c>
      <c r="F14" s="10" t="s">
        <v>22</v>
      </c>
      <c r="G14" s="10" t="s">
        <v>23</v>
      </c>
      <c r="H14" s="12">
        <v>675000</v>
      </c>
      <c r="I14" s="12">
        <v>264380</v>
      </c>
      <c r="J14" s="13">
        <f t="shared" si="0"/>
        <v>39.16740740740741</v>
      </c>
      <c r="K14" s="12">
        <v>528765</v>
      </c>
      <c r="L14" s="12">
        <f>H14-425963</f>
        <v>249037</v>
      </c>
      <c r="M14" s="12">
        <v>102802</v>
      </c>
      <c r="N14" s="12">
        <f t="shared" si="1"/>
        <v>135000</v>
      </c>
      <c r="O14" s="14">
        <v>0.23599999999999999</v>
      </c>
      <c r="P14" s="12">
        <f t="shared" si="2"/>
        <v>1055241.5254237289</v>
      </c>
      <c r="Q14" s="15">
        <f t="shared" si="3"/>
        <v>24.225012062069073</v>
      </c>
      <c r="R14" s="15">
        <f t="shared" si="4"/>
        <v>10.000038909900235</v>
      </c>
      <c r="S14" s="10" t="s">
        <v>24</v>
      </c>
    </row>
    <row r="15" spans="1:19" x14ac:dyDescent="0.25">
      <c r="A15" s="10" t="s">
        <v>2213</v>
      </c>
      <c r="B15" s="10" t="s">
        <v>2214</v>
      </c>
      <c r="C15" s="10" t="s">
        <v>2198</v>
      </c>
      <c r="D15" s="11">
        <v>45376</v>
      </c>
      <c r="E15" s="12">
        <v>1615000</v>
      </c>
      <c r="F15" s="10" t="s">
        <v>29</v>
      </c>
      <c r="G15" s="10" t="s">
        <v>23</v>
      </c>
      <c r="H15" s="12">
        <v>1615000</v>
      </c>
      <c r="I15" s="12">
        <v>467890</v>
      </c>
      <c r="J15" s="13">
        <f t="shared" si="0"/>
        <v>28.971517027863776</v>
      </c>
      <c r="K15" s="12">
        <v>935787</v>
      </c>
      <c r="L15" s="12">
        <f>H15-765903</f>
        <v>849097</v>
      </c>
      <c r="M15" s="12">
        <v>169884</v>
      </c>
      <c r="N15" s="12">
        <f t="shared" si="1"/>
        <v>323000</v>
      </c>
      <c r="O15" s="14">
        <v>0.39</v>
      </c>
      <c r="P15" s="12">
        <f t="shared" si="2"/>
        <v>2177171.794871795</v>
      </c>
      <c r="Q15" s="15">
        <f t="shared" si="3"/>
        <v>49.980987026441575</v>
      </c>
      <c r="R15" s="15">
        <f t="shared" si="4"/>
        <v>10</v>
      </c>
      <c r="S15" s="10" t="s">
        <v>24</v>
      </c>
    </row>
    <row r="16" spans="1:19" x14ac:dyDescent="0.25">
      <c r="A16" s="10" t="s">
        <v>2213</v>
      </c>
      <c r="B16" s="10" t="s">
        <v>2214</v>
      </c>
      <c r="C16" s="10" t="s">
        <v>2198</v>
      </c>
      <c r="D16" s="11">
        <v>45491</v>
      </c>
      <c r="E16" s="12">
        <v>1425000</v>
      </c>
      <c r="F16" s="10" t="s">
        <v>22</v>
      </c>
      <c r="G16" s="10" t="s">
        <v>23</v>
      </c>
      <c r="H16" s="12">
        <v>1425000</v>
      </c>
      <c r="I16" s="12">
        <v>467890</v>
      </c>
      <c r="J16" s="13">
        <f t="shared" si="0"/>
        <v>32.834385964912286</v>
      </c>
      <c r="K16" s="12">
        <v>935787</v>
      </c>
      <c r="L16" s="12">
        <f>H16-765903</f>
        <v>659097</v>
      </c>
      <c r="M16" s="12">
        <v>169884</v>
      </c>
      <c r="N16" s="12">
        <f t="shared" si="1"/>
        <v>285000</v>
      </c>
      <c r="O16" s="14">
        <v>0.39</v>
      </c>
      <c r="P16" s="12">
        <f t="shared" si="2"/>
        <v>1689992.3076923077</v>
      </c>
      <c r="Q16" s="15">
        <f t="shared" si="3"/>
        <v>38.79688493324857</v>
      </c>
      <c r="R16" s="15">
        <f t="shared" si="4"/>
        <v>10</v>
      </c>
      <c r="S16" s="10" t="s">
        <v>24</v>
      </c>
    </row>
    <row r="17" spans="1:19" x14ac:dyDescent="0.25">
      <c r="A17" s="10" t="s">
        <v>2215</v>
      </c>
      <c r="B17" s="10" t="s">
        <v>2216</v>
      </c>
      <c r="C17" s="10" t="s">
        <v>2198</v>
      </c>
      <c r="D17" s="11">
        <v>45467</v>
      </c>
      <c r="E17" s="12">
        <v>751000</v>
      </c>
      <c r="F17" s="10" t="s">
        <v>22</v>
      </c>
      <c r="G17" s="10" t="s">
        <v>23</v>
      </c>
      <c r="H17" s="12">
        <v>751000</v>
      </c>
      <c r="I17" s="12">
        <v>407860</v>
      </c>
      <c r="J17" s="13">
        <f t="shared" si="0"/>
        <v>54.308921438082557</v>
      </c>
      <c r="K17" s="12">
        <v>815720</v>
      </c>
      <c r="L17" s="12">
        <f>H17-622314</f>
        <v>128686</v>
      </c>
      <c r="M17" s="12">
        <v>193406</v>
      </c>
      <c r="N17" s="12">
        <f t="shared" si="1"/>
        <v>150200</v>
      </c>
      <c r="O17" s="14">
        <v>0.44400000000000001</v>
      </c>
      <c r="P17" s="12">
        <f t="shared" si="2"/>
        <v>289833.33333333331</v>
      </c>
      <c r="Q17" s="15">
        <f t="shared" si="3"/>
        <v>6.653657790021426</v>
      </c>
      <c r="R17" s="15">
        <f t="shared" si="4"/>
        <v>9.9999793181611363</v>
      </c>
      <c r="S17" s="10" t="s">
        <v>24</v>
      </c>
    </row>
    <row r="18" spans="1:19" x14ac:dyDescent="0.25">
      <c r="A18" s="10" t="s">
        <v>2217</v>
      </c>
      <c r="B18" s="10" t="s">
        <v>2218</v>
      </c>
      <c r="C18" s="10" t="s">
        <v>2198</v>
      </c>
      <c r="D18" s="11">
        <v>45049</v>
      </c>
      <c r="E18" s="12">
        <v>1500000</v>
      </c>
      <c r="F18" s="10" t="s">
        <v>22</v>
      </c>
      <c r="G18" s="10" t="s">
        <v>23</v>
      </c>
      <c r="H18" s="12">
        <v>1500000</v>
      </c>
      <c r="I18" s="12">
        <v>580710</v>
      </c>
      <c r="J18" s="13">
        <f t="shared" si="0"/>
        <v>38.713999999999999</v>
      </c>
      <c r="K18" s="12">
        <v>1161428</v>
      </c>
      <c r="L18" s="12">
        <f>H18-963230</f>
        <v>536770</v>
      </c>
      <c r="M18" s="12">
        <v>198198</v>
      </c>
      <c r="N18" s="12">
        <f t="shared" si="1"/>
        <v>300000</v>
      </c>
      <c r="O18" s="14">
        <v>0.45500000000000002</v>
      </c>
      <c r="P18" s="12">
        <f t="shared" si="2"/>
        <v>1179714.2857142857</v>
      </c>
      <c r="Q18" s="15">
        <f t="shared" si="3"/>
        <v>27.082513446149807</v>
      </c>
      <c r="R18" s="15">
        <f t="shared" si="4"/>
        <v>10</v>
      </c>
      <c r="S18" s="10" t="s">
        <v>24</v>
      </c>
    </row>
    <row r="19" spans="1:19" x14ac:dyDescent="0.25">
      <c r="A19" s="10" t="s">
        <v>2219</v>
      </c>
      <c r="B19" s="10" t="s">
        <v>2220</v>
      </c>
      <c r="C19" s="10" t="s">
        <v>2198</v>
      </c>
      <c r="D19" s="11">
        <v>45147</v>
      </c>
      <c r="E19" s="12">
        <v>390000</v>
      </c>
      <c r="F19" s="10" t="s">
        <v>29</v>
      </c>
      <c r="G19" s="10" t="s">
        <v>23</v>
      </c>
      <c r="H19" s="12">
        <v>390000</v>
      </c>
      <c r="I19" s="12">
        <v>198380</v>
      </c>
      <c r="J19" s="13">
        <f t="shared" si="0"/>
        <v>50.866666666666674</v>
      </c>
      <c r="K19" s="12">
        <v>396759</v>
      </c>
      <c r="L19" s="12">
        <f>H19-261723</f>
        <v>128277</v>
      </c>
      <c r="M19" s="12">
        <v>135036</v>
      </c>
      <c r="N19" s="12">
        <f t="shared" si="1"/>
        <v>78000</v>
      </c>
      <c r="O19" s="14">
        <v>0.31</v>
      </c>
      <c r="P19" s="12">
        <f t="shared" si="2"/>
        <v>413796.77419354836</v>
      </c>
      <c r="Q19" s="15">
        <f t="shared" si="3"/>
        <v>9.4994668088509719</v>
      </c>
      <c r="R19" s="15">
        <f t="shared" si="4"/>
        <v>10</v>
      </c>
      <c r="S19" s="10" t="s">
        <v>24</v>
      </c>
    </row>
    <row r="20" spans="1:19" x14ac:dyDescent="0.25">
      <c r="A20" s="10" t="s">
        <v>2221</v>
      </c>
      <c r="B20" s="10" t="s">
        <v>2222</v>
      </c>
      <c r="C20" s="10" t="s">
        <v>2198</v>
      </c>
      <c r="D20" s="11">
        <v>45061</v>
      </c>
      <c r="E20" s="12">
        <v>465500</v>
      </c>
      <c r="F20" s="10" t="s">
        <v>22</v>
      </c>
      <c r="G20" s="10" t="s">
        <v>23</v>
      </c>
      <c r="H20" s="12">
        <v>465500</v>
      </c>
      <c r="I20" s="12">
        <v>233680</v>
      </c>
      <c r="J20" s="13">
        <f t="shared" si="0"/>
        <v>50.199785177228783</v>
      </c>
      <c r="K20" s="12">
        <v>467367</v>
      </c>
      <c r="L20" s="12">
        <f>H20-300750</f>
        <v>164750</v>
      </c>
      <c r="M20" s="12">
        <v>166617</v>
      </c>
      <c r="N20" s="12">
        <f t="shared" si="1"/>
        <v>93100</v>
      </c>
      <c r="O20" s="14">
        <v>0.45</v>
      </c>
      <c r="P20" s="12">
        <f t="shared" si="2"/>
        <v>366111.11111111112</v>
      </c>
      <c r="Q20" s="15">
        <f t="shared" si="3"/>
        <v>8.4047546168758291</v>
      </c>
      <c r="R20" s="15">
        <f t="shared" si="4"/>
        <v>8.5</v>
      </c>
      <c r="S20" s="10" t="s">
        <v>24</v>
      </c>
    </row>
    <row r="21" spans="1:19" ht="15.75" thickBot="1" x14ac:dyDescent="0.3">
      <c r="A21" s="16"/>
      <c r="B21" s="16"/>
      <c r="C21" s="16"/>
      <c r="D21" s="17"/>
      <c r="E21" s="18"/>
      <c r="F21" s="16"/>
      <c r="G21" s="16"/>
      <c r="H21" s="18"/>
      <c r="I21" s="18"/>
      <c r="J21" s="19"/>
      <c r="K21" s="18"/>
      <c r="L21" s="18">
        <f>AVERAGE(L7:L20)</f>
        <v>294730.85714285716</v>
      </c>
      <c r="M21" s="18">
        <f>AVERAGE(M7:M20)</f>
        <v>173490.21428571429</v>
      </c>
      <c r="N21" s="18">
        <f>AVERAGE(N7:N20)</f>
        <v>160792.85714285713</v>
      </c>
      <c r="O21" s="20"/>
      <c r="P21" s="18"/>
      <c r="Q21" s="21">
        <f>AVERAGE(Q7:Q20)</f>
        <v>17.477977999543651</v>
      </c>
      <c r="R21" s="21">
        <f>AVERAGE(R7:R20)</f>
        <v>9.7418906789346487</v>
      </c>
      <c r="S21" s="16"/>
    </row>
    <row r="22" spans="1:19" ht="15.75" thickTop="1" x14ac:dyDescent="0.25">
      <c r="A22" s="10"/>
      <c r="B22" s="10"/>
      <c r="C22" s="10"/>
      <c r="D22" s="11"/>
      <c r="E22" s="12"/>
      <c r="F22" s="10"/>
      <c r="G22" s="10"/>
      <c r="H22" s="12"/>
      <c r="I22" s="12"/>
      <c r="J22" s="13"/>
      <c r="K22" s="12"/>
      <c r="L22" s="12"/>
      <c r="M22" s="12"/>
      <c r="N22" s="12"/>
      <c r="O22" s="14"/>
      <c r="P22" s="12"/>
      <c r="Q22" s="15"/>
      <c r="R22" s="15"/>
      <c r="S22" s="10"/>
    </row>
    <row r="23" spans="1:19" x14ac:dyDescent="0.25">
      <c r="A23" s="10"/>
      <c r="B23" s="10"/>
      <c r="C23" s="10"/>
      <c r="D23" s="11"/>
      <c r="E23" s="12"/>
      <c r="F23" s="10"/>
      <c r="G23" s="10"/>
      <c r="H23" s="12"/>
      <c r="I23" s="12"/>
      <c r="J23" s="13"/>
      <c r="K23" s="12"/>
      <c r="L23" s="12"/>
      <c r="M23" s="12"/>
      <c r="N23" s="12"/>
      <c r="O23" s="14"/>
      <c r="P23" s="12"/>
      <c r="Q23" s="15"/>
      <c r="R23" s="15"/>
      <c r="S23" s="10"/>
    </row>
    <row r="24" spans="1:19" x14ac:dyDescent="0.25">
      <c r="A24" s="10" t="s">
        <v>2223</v>
      </c>
      <c r="B24" s="10" t="s">
        <v>2224</v>
      </c>
      <c r="C24" s="10" t="s">
        <v>2225</v>
      </c>
      <c r="D24" s="11">
        <v>45646</v>
      </c>
      <c r="E24" s="12">
        <v>335000</v>
      </c>
      <c r="F24" s="10" t="s">
        <v>22</v>
      </c>
      <c r="G24" s="10" t="s">
        <v>23</v>
      </c>
      <c r="H24" s="12">
        <v>335000</v>
      </c>
      <c r="I24" s="12">
        <v>139980</v>
      </c>
      <c r="J24" s="13">
        <f>I24/H24*100</f>
        <v>41.785074626865672</v>
      </c>
      <c r="K24" s="12">
        <v>279950</v>
      </c>
      <c r="L24" s="12">
        <f>H24-54762</f>
        <v>280238</v>
      </c>
      <c r="M24" s="12">
        <v>225188</v>
      </c>
      <c r="N24" s="12">
        <f>E24*0.2</f>
        <v>67000</v>
      </c>
      <c r="O24" s="14">
        <v>1.1719999999999999</v>
      </c>
      <c r="P24" s="12">
        <f>L24/O24</f>
        <v>239110.9215017065</v>
      </c>
      <c r="Q24" s="15">
        <f>L24/O24/43560</f>
        <v>5.489231439433115</v>
      </c>
      <c r="R24" s="15">
        <f>M24/O24/43560</f>
        <v>4.4109258893621295</v>
      </c>
      <c r="S24" s="10" t="s">
        <v>24</v>
      </c>
    </row>
    <row r="25" spans="1:19" ht="15.75" thickBot="1" x14ac:dyDescent="0.3">
      <c r="A25" s="16"/>
      <c r="B25" s="16"/>
      <c r="C25" s="16"/>
      <c r="D25" s="17"/>
      <c r="E25" s="18"/>
      <c r="F25" s="16"/>
      <c r="G25" s="16"/>
      <c r="H25" s="18"/>
      <c r="I25" s="18"/>
      <c r="J25" s="19"/>
      <c r="K25" s="18"/>
      <c r="L25" s="18">
        <f>AVERAGE(L24)</f>
        <v>280238</v>
      </c>
      <c r="M25" s="18">
        <f>AVERAGE(M24)</f>
        <v>225188</v>
      </c>
      <c r="N25" s="18">
        <f>AVERAGE(N24)</f>
        <v>67000</v>
      </c>
      <c r="O25" s="20"/>
      <c r="P25" s="18"/>
      <c r="Q25" s="21">
        <f>AVERAGE(Q24)</f>
        <v>5.489231439433115</v>
      </c>
      <c r="R25" s="21">
        <f>AVERAGE(R24)</f>
        <v>4.4109258893621295</v>
      </c>
      <c r="S25" s="16"/>
    </row>
    <row r="26" spans="1:19" ht="15.75" thickTop="1" x14ac:dyDescent="0.25">
      <c r="A26" s="10"/>
      <c r="B26" s="10"/>
      <c r="C26" s="10"/>
      <c r="D26" s="11"/>
      <c r="E26" s="12"/>
      <c r="F26" s="10"/>
      <c r="G26" s="10"/>
      <c r="H26" s="12"/>
      <c r="I26" s="12"/>
      <c r="J26" s="13"/>
      <c r="K26" s="12"/>
      <c r="L26" s="12"/>
      <c r="M26" s="12"/>
      <c r="N26" s="12"/>
      <c r="O26" s="14"/>
      <c r="P26" s="12"/>
      <c r="Q26" s="15"/>
      <c r="R26" s="15"/>
      <c r="S26" s="10"/>
    </row>
    <row r="27" spans="1:19" x14ac:dyDescent="0.25">
      <c r="A27" s="10"/>
      <c r="B27" s="10"/>
      <c r="C27" s="10"/>
      <c r="D27" s="11"/>
      <c r="E27" s="12"/>
      <c r="F27" s="10"/>
      <c r="G27" s="10"/>
      <c r="H27" s="12"/>
      <c r="I27" s="12"/>
      <c r="J27" s="13"/>
      <c r="K27" s="12"/>
      <c r="L27" s="12"/>
      <c r="M27" s="12"/>
      <c r="N27" s="12"/>
      <c r="O27" s="14"/>
      <c r="P27" s="12"/>
      <c r="Q27" s="15"/>
      <c r="R27" s="15"/>
      <c r="S27" s="10"/>
    </row>
    <row r="28" spans="1:19" x14ac:dyDescent="0.25">
      <c r="A28" s="10" t="s">
        <v>2226</v>
      </c>
      <c r="B28" s="10" t="s">
        <v>2227</v>
      </c>
      <c r="C28" s="10" t="s">
        <v>2228</v>
      </c>
      <c r="D28" s="11">
        <v>45097</v>
      </c>
      <c r="E28" s="12">
        <v>600000</v>
      </c>
      <c r="F28" s="10" t="s">
        <v>29</v>
      </c>
      <c r="G28" s="10" t="s">
        <v>23</v>
      </c>
      <c r="H28" s="12">
        <v>600000</v>
      </c>
      <c r="I28" s="12">
        <v>255340</v>
      </c>
      <c r="J28" s="13">
        <f t="shared" ref="J28:J36" si="5">I28/H28*100</f>
        <v>42.556666666666665</v>
      </c>
      <c r="K28" s="12">
        <v>510682</v>
      </c>
      <c r="L28" s="12">
        <f>H28-398271</f>
        <v>201729</v>
      </c>
      <c r="M28" s="12">
        <v>112411</v>
      </c>
      <c r="N28" s="12">
        <f t="shared" ref="N28:N36" si="6">E28*0.2</f>
        <v>120000</v>
      </c>
      <c r="O28" s="14">
        <v>0.39100000000000001</v>
      </c>
      <c r="P28" s="12">
        <f t="shared" ref="P28:P36" si="7">L28/O28</f>
        <v>515930.94629156007</v>
      </c>
      <c r="Q28" s="15">
        <f t="shared" ref="Q28:Q36" si="8">L28/O28/43560</f>
        <v>11.844144772533518</v>
      </c>
      <c r="R28" s="15">
        <f t="shared" ref="R28:R36" si="9">M28/O28/43560</f>
        <v>6.6000037576415167</v>
      </c>
      <c r="S28" s="10" t="s">
        <v>24</v>
      </c>
    </row>
    <row r="29" spans="1:19" x14ac:dyDescent="0.25">
      <c r="A29" s="10" t="s">
        <v>2229</v>
      </c>
      <c r="B29" s="10" t="s">
        <v>2230</v>
      </c>
      <c r="C29" s="10" t="s">
        <v>2228</v>
      </c>
      <c r="D29" s="11">
        <v>45667</v>
      </c>
      <c r="E29" s="12">
        <v>1280000</v>
      </c>
      <c r="F29" s="10" t="s">
        <v>22</v>
      </c>
      <c r="G29" s="10" t="s">
        <v>23</v>
      </c>
      <c r="H29" s="12">
        <v>1280000</v>
      </c>
      <c r="I29" s="12">
        <v>447520</v>
      </c>
      <c r="J29" s="13">
        <f t="shared" si="5"/>
        <v>34.962499999999999</v>
      </c>
      <c r="K29" s="12">
        <v>895043</v>
      </c>
      <c r="L29" s="12">
        <f>H29-755607</f>
        <v>524393</v>
      </c>
      <c r="M29" s="12">
        <v>139436</v>
      </c>
      <c r="N29" s="12">
        <f t="shared" si="6"/>
        <v>256000</v>
      </c>
      <c r="O29" s="14">
        <v>0.48499999999999999</v>
      </c>
      <c r="P29" s="12">
        <f t="shared" si="7"/>
        <v>1081222.6804123712</v>
      </c>
      <c r="Q29" s="15">
        <f t="shared" si="8"/>
        <v>24.821457309742222</v>
      </c>
      <c r="R29" s="15">
        <f t="shared" si="9"/>
        <v>6.6000208268249505</v>
      </c>
      <c r="S29" s="10" t="s">
        <v>24</v>
      </c>
    </row>
    <row r="30" spans="1:19" x14ac:dyDescent="0.25">
      <c r="A30" s="10" t="s">
        <v>2231</v>
      </c>
      <c r="B30" s="10" t="s">
        <v>2232</v>
      </c>
      <c r="C30" s="10" t="s">
        <v>2228</v>
      </c>
      <c r="D30" s="11">
        <v>45490</v>
      </c>
      <c r="E30" s="12">
        <v>870000</v>
      </c>
      <c r="F30" s="10" t="s">
        <v>29</v>
      </c>
      <c r="G30" s="10" t="s">
        <v>23</v>
      </c>
      <c r="H30" s="12">
        <v>870000</v>
      </c>
      <c r="I30" s="12">
        <v>388380</v>
      </c>
      <c r="J30" s="13">
        <f t="shared" si="5"/>
        <v>44.641379310344824</v>
      </c>
      <c r="K30" s="12">
        <v>776758</v>
      </c>
      <c r="L30" s="12">
        <f>H30-626877</f>
        <v>243123</v>
      </c>
      <c r="M30" s="12">
        <v>149881</v>
      </c>
      <c r="N30" s="12">
        <f t="shared" si="6"/>
        <v>174000</v>
      </c>
      <c r="O30" s="14">
        <v>0.53200000000000003</v>
      </c>
      <c r="P30" s="12">
        <f t="shared" si="7"/>
        <v>456998.12030075188</v>
      </c>
      <c r="Q30" s="15">
        <f t="shared" si="8"/>
        <v>10.491233248410282</v>
      </c>
      <c r="R30" s="15">
        <f t="shared" si="9"/>
        <v>6.4676584712469873</v>
      </c>
      <c r="S30" s="10" t="s">
        <v>24</v>
      </c>
    </row>
    <row r="31" spans="1:19" x14ac:dyDescent="0.25">
      <c r="A31" s="10" t="s">
        <v>2233</v>
      </c>
      <c r="B31" s="10" t="s">
        <v>2234</v>
      </c>
      <c r="C31" s="10" t="s">
        <v>2228</v>
      </c>
      <c r="D31" s="11">
        <v>45415</v>
      </c>
      <c r="E31" s="12">
        <v>380000</v>
      </c>
      <c r="F31" s="10" t="s">
        <v>29</v>
      </c>
      <c r="G31" s="10" t="s">
        <v>23</v>
      </c>
      <c r="H31" s="12">
        <v>380000</v>
      </c>
      <c r="I31" s="12">
        <v>136710</v>
      </c>
      <c r="J31" s="13">
        <f t="shared" si="5"/>
        <v>35.976315789473681</v>
      </c>
      <c r="K31" s="12">
        <v>273421</v>
      </c>
      <c r="L31" s="12">
        <f>H31-185275</f>
        <v>194725</v>
      </c>
      <c r="M31" s="12">
        <v>88146</v>
      </c>
      <c r="N31" s="12">
        <f t="shared" si="6"/>
        <v>76000</v>
      </c>
      <c r="O31" s="14">
        <v>0.438</v>
      </c>
      <c r="P31" s="12">
        <f t="shared" si="7"/>
        <v>444577.62557077623</v>
      </c>
      <c r="Q31" s="15">
        <f t="shared" si="8"/>
        <v>10.206097924030676</v>
      </c>
      <c r="R31" s="15">
        <f t="shared" si="9"/>
        <v>4.6199856598362201</v>
      </c>
      <c r="S31" s="10" t="s">
        <v>24</v>
      </c>
    </row>
    <row r="32" spans="1:19" x14ac:dyDescent="0.25">
      <c r="A32" s="10" t="s">
        <v>2235</v>
      </c>
      <c r="B32" s="10" t="s">
        <v>2236</v>
      </c>
      <c r="C32" s="10" t="s">
        <v>2228</v>
      </c>
      <c r="D32" s="11">
        <v>45700</v>
      </c>
      <c r="E32" s="12">
        <v>585000</v>
      </c>
      <c r="F32" s="10" t="s">
        <v>22</v>
      </c>
      <c r="G32" s="10" t="s">
        <v>23</v>
      </c>
      <c r="H32" s="12">
        <v>585000</v>
      </c>
      <c r="I32" s="12">
        <v>285600</v>
      </c>
      <c r="J32" s="13">
        <f t="shared" si="5"/>
        <v>48.820512820512818</v>
      </c>
      <c r="K32" s="12">
        <v>571192</v>
      </c>
      <c r="L32" s="12">
        <f>H32-418627</f>
        <v>166373</v>
      </c>
      <c r="M32" s="12">
        <v>152565</v>
      </c>
      <c r="N32" s="12">
        <f t="shared" si="6"/>
        <v>117000</v>
      </c>
      <c r="O32" s="14">
        <v>0.54600000000000004</v>
      </c>
      <c r="P32" s="12">
        <f t="shared" si="7"/>
        <v>304712.45421245421</v>
      </c>
      <c r="Q32" s="15">
        <f t="shared" si="8"/>
        <v>6.995235404326313</v>
      </c>
      <c r="R32" s="15">
        <f t="shared" si="9"/>
        <v>6.4146711873984588</v>
      </c>
      <c r="S32" s="10" t="s">
        <v>24</v>
      </c>
    </row>
    <row r="33" spans="1:19" x14ac:dyDescent="0.25">
      <c r="A33" s="10" t="s">
        <v>2237</v>
      </c>
      <c r="B33" s="10" t="s">
        <v>2238</v>
      </c>
      <c r="C33" s="10" t="s">
        <v>2228</v>
      </c>
      <c r="D33" s="11">
        <v>45390</v>
      </c>
      <c r="E33" s="12">
        <v>850000</v>
      </c>
      <c r="F33" s="10" t="s">
        <v>29</v>
      </c>
      <c r="G33" s="10" t="s">
        <v>23</v>
      </c>
      <c r="H33" s="12">
        <v>850000</v>
      </c>
      <c r="I33" s="12">
        <v>221780</v>
      </c>
      <c r="J33" s="13">
        <f t="shared" si="5"/>
        <v>26.091764705882355</v>
      </c>
      <c r="K33" s="12">
        <v>443553</v>
      </c>
      <c r="L33" s="12">
        <f>H33-346954</f>
        <v>503046</v>
      </c>
      <c r="M33" s="12">
        <v>96599</v>
      </c>
      <c r="N33" s="12">
        <f t="shared" si="6"/>
        <v>170000</v>
      </c>
      <c r="O33" s="14">
        <v>0.33600000000000002</v>
      </c>
      <c r="P33" s="12">
        <f t="shared" si="7"/>
        <v>1497160.7142857141</v>
      </c>
      <c r="Q33" s="15">
        <f t="shared" si="8"/>
        <v>34.370080676898851</v>
      </c>
      <c r="R33" s="15">
        <f t="shared" si="9"/>
        <v>6.6000235034325936</v>
      </c>
      <c r="S33" s="10" t="s">
        <v>24</v>
      </c>
    </row>
    <row r="34" spans="1:19" x14ac:dyDescent="0.25">
      <c r="A34" s="10" t="s">
        <v>2239</v>
      </c>
      <c r="B34" s="10" t="s">
        <v>2240</v>
      </c>
      <c r="C34" s="10" t="s">
        <v>2228</v>
      </c>
      <c r="D34" s="11">
        <v>45155</v>
      </c>
      <c r="E34" s="12">
        <v>510000</v>
      </c>
      <c r="F34" s="10" t="s">
        <v>29</v>
      </c>
      <c r="G34" s="10" t="s">
        <v>23</v>
      </c>
      <c r="H34" s="12">
        <v>510000</v>
      </c>
      <c r="I34" s="12">
        <v>199190</v>
      </c>
      <c r="J34" s="13">
        <f t="shared" si="5"/>
        <v>39.056862745098037</v>
      </c>
      <c r="K34" s="12">
        <v>398388</v>
      </c>
      <c r="L34" s="12">
        <f>H34-312139</f>
        <v>197861</v>
      </c>
      <c r="M34" s="12">
        <v>86249</v>
      </c>
      <c r="N34" s="12">
        <f t="shared" si="6"/>
        <v>102000</v>
      </c>
      <c r="O34" s="14">
        <v>0.3</v>
      </c>
      <c r="P34" s="12">
        <f t="shared" si="7"/>
        <v>659536.66666666674</v>
      </c>
      <c r="Q34" s="15">
        <f t="shared" si="8"/>
        <v>15.140878481787574</v>
      </c>
      <c r="R34" s="15">
        <f t="shared" si="9"/>
        <v>6.6000153045607597</v>
      </c>
      <c r="S34" s="10" t="s">
        <v>24</v>
      </c>
    </row>
    <row r="35" spans="1:19" x14ac:dyDescent="0.25">
      <c r="A35" s="10" t="s">
        <v>2241</v>
      </c>
      <c r="B35" s="10" t="s">
        <v>2242</v>
      </c>
      <c r="C35" s="10" t="s">
        <v>2228</v>
      </c>
      <c r="D35" s="11">
        <v>45504</v>
      </c>
      <c r="E35" s="12">
        <v>750000</v>
      </c>
      <c r="F35" s="10" t="s">
        <v>29</v>
      </c>
      <c r="G35" s="10" t="s">
        <v>23</v>
      </c>
      <c r="H35" s="12">
        <v>750000</v>
      </c>
      <c r="I35" s="12">
        <v>223230</v>
      </c>
      <c r="J35" s="13">
        <f t="shared" si="5"/>
        <v>29.764000000000003</v>
      </c>
      <c r="K35" s="12">
        <v>446464</v>
      </c>
      <c r="L35" s="12">
        <f>H35-344690</f>
        <v>405310</v>
      </c>
      <c r="M35" s="12">
        <v>101774</v>
      </c>
      <c r="N35" s="12">
        <f t="shared" si="6"/>
        <v>150000</v>
      </c>
      <c r="O35" s="14">
        <v>0.35399999999999998</v>
      </c>
      <c r="P35" s="12">
        <f t="shared" si="7"/>
        <v>1144943.5028248588</v>
      </c>
      <c r="Q35" s="15">
        <f t="shared" si="8"/>
        <v>26.28428610709042</v>
      </c>
      <c r="R35" s="15">
        <f t="shared" si="9"/>
        <v>6.6000269775308302</v>
      </c>
      <c r="S35" s="10" t="s">
        <v>24</v>
      </c>
    </row>
    <row r="36" spans="1:19" x14ac:dyDescent="0.25">
      <c r="A36" s="10" t="s">
        <v>2243</v>
      </c>
      <c r="B36" s="10" t="s">
        <v>2244</v>
      </c>
      <c r="C36" s="10" t="s">
        <v>2228</v>
      </c>
      <c r="D36" s="11">
        <v>45496</v>
      </c>
      <c r="E36" s="12">
        <v>735000</v>
      </c>
      <c r="F36" s="10" t="s">
        <v>22</v>
      </c>
      <c r="G36" s="10" t="s">
        <v>23</v>
      </c>
      <c r="H36" s="12">
        <v>735000</v>
      </c>
      <c r="I36" s="12">
        <v>238480</v>
      </c>
      <c r="J36" s="13">
        <f t="shared" si="5"/>
        <v>32.44625850340136</v>
      </c>
      <c r="K36" s="12">
        <v>476952</v>
      </c>
      <c r="L36" s="12">
        <f>H36-381791</f>
        <v>353209</v>
      </c>
      <c r="M36" s="12">
        <v>95161</v>
      </c>
      <c r="N36" s="12">
        <f t="shared" si="6"/>
        <v>147000</v>
      </c>
      <c r="O36" s="14">
        <v>0.33100000000000002</v>
      </c>
      <c r="P36" s="12">
        <f t="shared" si="7"/>
        <v>1067096.67673716</v>
      </c>
      <c r="Q36" s="15">
        <f t="shared" si="8"/>
        <v>24.497168887446279</v>
      </c>
      <c r="R36" s="15">
        <f t="shared" si="9"/>
        <v>6.599987793341267</v>
      </c>
      <c r="S36" s="10" t="s">
        <v>24</v>
      </c>
    </row>
    <row r="37" spans="1:19" ht="15.75" thickBot="1" x14ac:dyDescent="0.3">
      <c r="A37" s="16"/>
      <c r="B37" s="16"/>
      <c r="C37" s="16"/>
      <c r="D37" s="17"/>
      <c r="E37" s="18"/>
      <c r="F37" s="16"/>
      <c r="G37" s="16"/>
      <c r="H37" s="18"/>
      <c r="I37" s="18"/>
      <c r="J37" s="19"/>
      <c r="K37" s="18"/>
      <c r="L37" s="18">
        <f>AVERAGE(L28:L36)</f>
        <v>309974.33333333331</v>
      </c>
      <c r="M37" s="18">
        <f>AVERAGE(M28:M36)</f>
        <v>113580.22222222222</v>
      </c>
      <c r="N37" s="18">
        <f>AVERAGE(N28:N36)</f>
        <v>145777.77777777778</v>
      </c>
      <c r="O37" s="20"/>
      <c r="P37" s="18"/>
      <c r="Q37" s="21">
        <f>AVERAGE(Q28:Q36)</f>
        <v>18.294509201362903</v>
      </c>
      <c r="R37" s="21">
        <f>AVERAGE(R28:R36)</f>
        <v>6.3447103868681767</v>
      </c>
      <c r="S37" s="16"/>
    </row>
    <row r="38" spans="1:19" ht="15.75" thickTop="1" x14ac:dyDescent="0.25">
      <c r="A38" s="10"/>
      <c r="B38" s="10"/>
      <c r="C38" s="10"/>
      <c r="D38" s="11"/>
      <c r="E38" s="12"/>
      <c r="F38" s="10"/>
      <c r="G38" s="10"/>
      <c r="H38" s="12"/>
      <c r="I38" s="12"/>
      <c r="J38" s="13"/>
      <c r="K38" s="12"/>
      <c r="L38" s="12"/>
      <c r="M38" s="12"/>
      <c r="N38" s="12"/>
      <c r="O38" s="14"/>
      <c r="P38" s="12"/>
      <c r="Q38" s="15"/>
      <c r="R38" s="15"/>
      <c r="S38" s="10"/>
    </row>
    <row r="39" spans="1:19" x14ac:dyDescent="0.25">
      <c r="A39" s="10"/>
      <c r="B39" s="10"/>
      <c r="C39" s="10"/>
      <c r="D39" s="11"/>
      <c r="E39" s="12"/>
      <c r="F39" s="10"/>
      <c r="G39" s="10"/>
      <c r="H39" s="12"/>
      <c r="I39" s="12"/>
      <c r="J39" s="13"/>
      <c r="K39" s="12"/>
      <c r="L39" s="12"/>
      <c r="M39" s="12"/>
      <c r="N39" s="12"/>
      <c r="O39" s="14"/>
      <c r="P39" s="12"/>
      <c r="Q39" s="15"/>
      <c r="R39" s="15"/>
      <c r="S39" s="10"/>
    </row>
    <row r="40" spans="1:19" x14ac:dyDescent="0.25">
      <c r="A40" s="10" t="s">
        <v>2245</v>
      </c>
      <c r="B40" s="10" t="s">
        <v>2246</v>
      </c>
      <c r="C40" s="10" t="s">
        <v>2247</v>
      </c>
      <c r="D40" s="11">
        <v>45118</v>
      </c>
      <c r="E40" s="12">
        <v>215000</v>
      </c>
      <c r="F40" s="10" t="s">
        <v>29</v>
      </c>
      <c r="G40" s="10" t="s">
        <v>23</v>
      </c>
      <c r="H40" s="12">
        <v>215000</v>
      </c>
      <c r="I40" s="12">
        <v>100020</v>
      </c>
      <c r="J40" s="13">
        <f t="shared" ref="J40:J48" si="10">I40/H40*100</f>
        <v>46.520930232558136</v>
      </c>
      <c r="K40" s="12">
        <v>200041</v>
      </c>
      <c r="L40" s="12">
        <f>H40-150041</f>
        <v>64959</v>
      </c>
      <c r="M40" s="12">
        <v>50000</v>
      </c>
      <c r="N40" s="12">
        <f t="shared" ref="N40:N48" si="11">E40*0.2</f>
        <v>43000</v>
      </c>
      <c r="O40" s="14">
        <v>1</v>
      </c>
      <c r="P40" s="12">
        <f t="shared" ref="P40:P48" si="12">L40/O40</f>
        <v>64959</v>
      </c>
      <c r="Q40" s="15">
        <f t="shared" ref="Q40:Q48" si="13">L40/O40/43560</f>
        <v>1.4912534435261708</v>
      </c>
      <c r="R40" s="15">
        <f t="shared" ref="R40:R48" si="14">M40/O40/43560</f>
        <v>1.1478420569329659</v>
      </c>
      <c r="S40" s="10" t="s">
        <v>97</v>
      </c>
    </row>
    <row r="41" spans="1:19" x14ac:dyDescent="0.25">
      <c r="A41" s="10" t="s">
        <v>2248</v>
      </c>
      <c r="B41" s="10" t="s">
        <v>2249</v>
      </c>
      <c r="C41" s="10" t="s">
        <v>2247</v>
      </c>
      <c r="D41" s="11">
        <v>45121</v>
      </c>
      <c r="E41" s="12">
        <v>235000</v>
      </c>
      <c r="F41" s="10" t="s">
        <v>29</v>
      </c>
      <c r="G41" s="10" t="s">
        <v>23</v>
      </c>
      <c r="H41" s="12">
        <v>235000</v>
      </c>
      <c r="I41" s="12">
        <v>109060</v>
      </c>
      <c r="J41" s="13">
        <f t="shared" si="10"/>
        <v>46.408510638297869</v>
      </c>
      <c r="K41" s="12">
        <v>218119</v>
      </c>
      <c r="L41" s="12">
        <f>H41-168119</f>
        <v>66881</v>
      </c>
      <c r="M41" s="12">
        <v>50000</v>
      </c>
      <c r="N41" s="12">
        <f t="shared" si="11"/>
        <v>47000</v>
      </c>
      <c r="O41" s="14">
        <v>1</v>
      </c>
      <c r="P41" s="12">
        <f t="shared" si="12"/>
        <v>66881</v>
      </c>
      <c r="Q41" s="15">
        <f t="shared" si="13"/>
        <v>1.535376492194674</v>
      </c>
      <c r="R41" s="15">
        <f t="shared" si="14"/>
        <v>1.1478420569329659</v>
      </c>
      <c r="S41" s="10" t="s">
        <v>97</v>
      </c>
    </row>
    <row r="42" spans="1:19" x14ac:dyDescent="0.25">
      <c r="A42" s="10" t="s">
        <v>2250</v>
      </c>
      <c r="B42" s="10" t="s">
        <v>2251</v>
      </c>
      <c r="C42" s="10" t="s">
        <v>2247</v>
      </c>
      <c r="D42" s="11">
        <v>45155</v>
      </c>
      <c r="E42" s="12">
        <v>230000</v>
      </c>
      <c r="F42" s="10" t="s">
        <v>22</v>
      </c>
      <c r="G42" s="10" t="s">
        <v>23</v>
      </c>
      <c r="H42" s="12">
        <v>230000</v>
      </c>
      <c r="I42" s="12">
        <v>106810</v>
      </c>
      <c r="J42" s="13">
        <f t="shared" si="10"/>
        <v>46.439130434782612</v>
      </c>
      <c r="K42" s="12">
        <v>213617</v>
      </c>
      <c r="L42" s="12">
        <f>H42-163617</f>
        <v>66383</v>
      </c>
      <c r="M42" s="12">
        <v>50000</v>
      </c>
      <c r="N42" s="12">
        <f t="shared" si="11"/>
        <v>46000</v>
      </c>
      <c r="O42" s="14">
        <v>1</v>
      </c>
      <c r="P42" s="12">
        <f t="shared" si="12"/>
        <v>66383</v>
      </c>
      <c r="Q42" s="15">
        <f t="shared" si="13"/>
        <v>1.5239439853076218</v>
      </c>
      <c r="R42" s="15">
        <f t="shared" si="14"/>
        <v>1.1478420569329659</v>
      </c>
      <c r="S42" s="10" t="s">
        <v>97</v>
      </c>
    </row>
    <row r="43" spans="1:19" x14ac:dyDescent="0.25">
      <c r="A43" s="10" t="s">
        <v>2252</v>
      </c>
      <c r="B43" s="10" t="s">
        <v>2253</v>
      </c>
      <c r="C43" s="10" t="s">
        <v>2247</v>
      </c>
      <c r="D43" s="11">
        <v>45210</v>
      </c>
      <c r="E43" s="12">
        <v>215000</v>
      </c>
      <c r="F43" s="10" t="s">
        <v>29</v>
      </c>
      <c r="G43" s="10" t="s">
        <v>23</v>
      </c>
      <c r="H43" s="12">
        <v>215000</v>
      </c>
      <c r="I43" s="12">
        <v>113770</v>
      </c>
      <c r="J43" s="13">
        <f t="shared" si="10"/>
        <v>52.916279069767448</v>
      </c>
      <c r="K43" s="12">
        <v>227547</v>
      </c>
      <c r="L43" s="12">
        <f>H43-177547</f>
        <v>37453</v>
      </c>
      <c r="M43" s="12">
        <v>50000</v>
      </c>
      <c r="N43" s="12">
        <f t="shared" si="11"/>
        <v>43000</v>
      </c>
      <c r="O43" s="14">
        <v>1</v>
      </c>
      <c r="P43" s="12">
        <f t="shared" si="12"/>
        <v>37453</v>
      </c>
      <c r="Q43" s="15">
        <f t="shared" si="13"/>
        <v>0.85980257116620751</v>
      </c>
      <c r="R43" s="15">
        <f t="shared" si="14"/>
        <v>1.1478420569329659</v>
      </c>
      <c r="S43" s="10" t="s">
        <v>97</v>
      </c>
    </row>
    <row r="44" spans="1:19" x14ac:dyDescent="0.25">
      <c r="A44" s="10" t="s">
        <v>2254</v>
      </c>
      <c r="B44" s="10" t="s">
        <v>2255</v>
      </c>
      <c r="C44" s="10" t="s">
        <v>2247</v>
      </c>
      <c r="D44" s="11">
        <v>45086</v>
      </c>
      <c r="E44" s="12">
        <v>220000</v>
      </c>
      <c r="F44" s="10" t="s">
        <v>29</v>
      </c>
      <c r="G44" s="10" t="s">
        <v>23</v>
      </c>
      <c r="H44" s="12">
        <v>220000</v>
      </c>
      <c r="I44" s="12">
        <v>100000</v>
      </c>
      <c r="J44" s="13">
        <f t="shared" si="10"/>
        <v>45.454545454545453</v>
      </c>
      <c r="K44" s="12">
        <v>200006</v>
      </c>
      <c r="L44" s="12">
        <f>H44-150006</f>
        <v>69994</v>
      </c>
      <c r="M44" s="12">
        <v>50000</v>
      </c>
      <c r="N44" s="12">
        <f t="shared" si="11"/>
        <v>44000</v>
      </c>
      <c r="O44" s="14">
        <v>1</v>
      </c>
      <c r="P44" s="12">
        <f t="shared" si="12"/>
        <v>69994</v>
      </c>
      <c r="Q44" s="15">
        <f t="shared" si="13"/>
        <v>1.6068411386593204</v>
      </c>
      <c r="R44" s="15">
        <f t="shared" si="14"/>
        <v>1.1478420569329659</v>
      </c>
      <c r="S44" s="10" t="s">
        <v>97</v>
      </c>
    </row>
    <row r="45" spans="1:19" x14ac:dyDescent="0.25">
      <c r="A45" s="10" t="s">
        <v>2254</v>
      </c>
      <c r="B45" s="10" t="s">
        <v>2255</v>
      </c>
      <c r="C45" s="10" t="s">
        <v>2247</v>
      </c>
      <c r="D45" s="11">
        <v>45419</v>
      </c>
      <c r="E45" s="12">
        <v>275000</v>
      </c>
      <c r="F45" s="10" t="s">
        <v>22</v>
      </c>
      <c r="G45" s="10" t="s">
        <v>23</v>
      </c>
      <c r="H45" s="12">
        <v>275000</v>
      </c>
      <c r="I45" s="12">
        <v>100000</v>
      </c>
      <c r="J45" s="13">
        <f t="shared" si="10"/>
        <v>36.363636363636367</v>
      </c>
      <c r="K45" s="12">
        <v>200006</v>
      </c>
      <c r="L45" s="12">
        <f>H45-150006</f>
        <v>124994</v>
      </c>
      <c r="M45" s="12">
        <v>50000</v>
      </c>
      <c r="N45" s="12">
        <f t="shared" si="11"/>
        <v>55000</v>
      </c>
      <c r="O45" s="14">
        <v>1</v>
      </c>
      <c r="P45" s="12">
        <f t="shared" si="12"/>
        <v>124994</v>
      </c>
      <c r="Q45" s="15">
        <f t="shared" si="13"/>
        <v>2.8694674012855832</v>
      </c>
      <c r="R45" s="15">
        <f t="shared" si="14"/>
        <v>1.1478420569329659</v>
      </c>
      <c r="S45" s="10" t="s">
        <v>97</v>
      </c>
    </row>
    <row r="46" spans="1:19" x14ac:dyDescent="0.25">
      <c r="A46" s="10" t="s">
        <v>2256</v>
      </c>
      <c r="B46" s="10" t="s">
        <v>2257</v>
      </c>
      <c r="C46" s="10" t="s">
        <v>2247</v>
      </c>
      <c r="D46" s="11">
        <v>45589</v>
      </c>
      <c r="E46" s="12">
        <v>225000</v>
      </c>
      <c r="F46" s="10" t="s">
        <v>22</v>
      </c>
      <c r="G46" s="10" t="s">
        <v>23</v>
      </c>
      <c r="H46" s="12">
        <v>225000</v>
      </c>
      <c r="I46" s="12">
        <v>102380</v>
      </c>
      <c r="J46" s="13">
        <f t="shared" si="10"/>
        <v>45.502222222222223</v>
      </c>
      <c r="K46" s="12">
        <v>204757</v>
      </c>
      <c r="L46" s="12">
        <f>H46-154757</f>
        <v>70243</v>
      </c>
      <c r="M46" s="12">
        <v>50000</v>
      </c>
      <c r="N46" s="12">
        <f t="shared" si="11"/>
        <v>45000</v>
      </c>
      <c r="O46" s="14">
        <v>1</v>
      </c>
      <c r="P46" s="12">
        <f t="shared" si="12"/>
        <v>70243</v>
      </c>
      <c r="Q46" s="15">
        <f t="shared" si="13"/>
        <v>1.6125573921028467</v>
      </c>
      <c r="R46" s="15">
        <f t="shared" si="14"/>
        <v>1.1478420569329659</v>
      </c>
      <c r="S46" s="10" t="s">
        <v>97</v>
      </c>
    </row>
    <row r="47" spans="1:19" x14ac:dyDescent="0.25">
      <c r="A47" s="10" t="s">
        <v>2258</v>
      </c>
      <c r="B47" s="10" t="s">
        <v>2259</v>
      </c>
      <c r="C47" s="10" t="s">
        <v>2247</v>
      </c>
      <c r="D47" s="11">
        <v>45408</v>
      </c>
      <c r="E47" s="12">
        <v>235000</v>
      </c>
      <c r="F47" s="10" t="s">
        <v>29</v>
      </c>
      <c r="G47" s="10" t="s">
        <v>23</v>
      </c>
      <c r="H47" s="12">
        <v>235000</v>
      </c>
      <c r="I47" s="12">
        <v>100270</v>
      </c>
      <c r="J47" s="13">
        <f t="shared" si="10"/>
        <v>42.668085106382982</v>
      </c>
      <c r="K47" s="12">
        <v>200534</v>
      </c>
      <c r="L47" s="12">
        <f>H47-150534</f>
        <v>84466</v>
      </c>
      <c r="M47" s="12">
        <v>50000</v>
      </c>
      <c r="N47" s="12">
        <f t="shared" si="11"/>
        <v>47000</v>
      </c>
      <c r="O47" s="14">
        <v>1</v>
      </c>
      <c r="P47" s="12">
        <f t="shared" si="12"/>
        <v>84466</v>
      </c>
      <c r="Q47" s="15">
        <f t="shared" si="13"/>
        <v>1.9390725436179981</v>
      </c>
      <c r="R47" s="15">
        <f t="shared" si="14"/>
        <v>1.1478420569329659</v>
      </c>
      <c r="S47" s="10" t="s">
        <v>97</v>
      </c>
    </row>
    <row r="48" spans="1:19" x14ac:dyDescent="0.25">
      <c r="A48" s="10" t="s">
        <v>2260</v>
      </c>
      <c r="B48" s="10" t="s">
        <v>2261</v>
      </c>
      <c r="C48" s="10" t="s">
        <v>2247</v>
      </c>
      <c r="D48" s="11">
        <v>45408</v>
      </c>
      <c r="E48" s="12">
        <v>360000</v>
      </c>
      <c r="F48" s="10" t="s">
        <v>22</v>
      </c>
      <c r="G48" s="10" t="s">
        <v>23</v>
      </c>
      <c r="H48" s="12">
        <v>360000</v>
      </c>
      <c r="I48" s="12">
        <v>116310</v>
      </c>
      <c r="J48" s="13">
        <f t="shared" si="10"/>
        <v>32.30833333333333</v>
      </c>
      <c r="K48" s="12">
        <v>232621</v>
      </c>
      <c r="L48" s="12">
        <f>H48-182621</f>
        <v>177379</v>
      </c>
      <c r="M48" s="12">
        <v>50000</v>
      </c>
      <c r="N48" s="12">
        <f t="shared" si="11"/>
        <v>72000</v>
      </c>
      <c r="O48" s="14">
        <v>1</v>
      </c>
      <c r="P48" s="12">
        <f t="shared" si="12"/>
        <v>177379</v>
      </c>
      <c r="Q48" s="15">
        <f t="shared" si="13"/>
        <v>4.0720615243342513</v>
      </c>
      <c r="R48" s="15">
        <f t="shared" si="14"/>
        <v>1.1478420569329659</v>
      </c>
      <c r="S48" s="10" t="s">
        <v>97</v>
      </c>
    </row>
    <row r="49" spans="1:19" ht="15.75" thickBot="1" x14ac:dyDescent="0.3">
      <c r="A49" s="16"/>
      <c r="B49" s="16"/>
      <c r="C49" s="16"/>
      <c r="D49" s="17"/>
      <c r="E49" s="18"/>
      <c r="F49" s="16"/>
      <c r="G49" s="16"/>
      <c r="H49" s="18"/>
      <c r="I49" s="18"/>
      <c r="J49" s="19"/>
      <c r="K49" s="18"/>
      <c r="L49" s="18">
        <f>AVERAGE(L40:L48)</f>
        <v>84750.222222222219</v>
      </c>
      <c r="M49" s="18">
        <f>AVERAGE(M40:M48)</f>
        <v>50000</v>
      </c>
      <c r="N49" s="18">
        <f>AVERAGE(N40:N48)</f>
        <v>49111.111111111109</v>
      </c>
      <c r="O49" s="20"/>
      <c r="P49" s="18"/>
      <c r="Q49" s="21">
        <f>AVERAGE(Q40:Q48)</f>
        <v>1.9455973880216304</v>
      </c>
      <c r="R49" s="21">
        <f>AVERAGE(R40:R48)</f>
        <v>1.1478420569329659</v>
      </c>
      <c r="S49" s="16"/>
    </row>
    <row r="50" spans="1:19" ht="15.75" thickTop="1" x14ac:dyDescent="0.25">
      <c r="A50" s="10"/>
      <c r="B50" s="10"/>
      <c r="C50" s="10"/>
      <c r="D50" s="11"/>
      <c r="E50" s="12"/>
      <c r="F50" s="10"/>
      <c r="G50" s="10"/>
      <c r="H50" s="12"/>
      <c r="I50" s="12"/>
      <c r="J50" s="13"/>
      <c r="K50" s="12"/>
      <c r="L50" s="12"/>
      <c r="M50" s="12"/>
      <c r="N50" s="12"/>
      <c r="O50" s="14"/>
      <c r="P50" s="12"/>
      <c r="Q50" s="15"/>
      <c r="R50" s="15"/>
      <c r="S50" s="10"/>
    </row>
    <row r="51" spans="1:19" x14ac:dyDescent="0.25">
      <c r="A51" s="10"/>
      <c r="B51" s="10"/>
      <c r="C51" s="10"/>
      <c r="D51" s="11"/>
      <c r="E51" s="12"/>
      <c r="F51" s="10"/>
      <c r="G51" s="10"/>
      <c r="H51" s="12"/>
      <c r="I51" s="12"/>
      <c r="J51" s="13"/>
      <c r="K51" s="12"/>
      <c r="L51" s="12"/>
      <c r="M51" s="12"/>
      <c r="N51" s="12"/>
      <c r="O51" s="14"/>
      <c r="P51" s="12"/>
      <c r="Q51" s="15"/>
      <c r="R51" s="15"/>
      <c r="S51" s="10"/>
    </row>
    <row r="52" spans="1:19" x14ac:dyDescent="0.25">
      <c r="A52" s="10" t="s">
        <v>2262</v>
      </c>
      <c r="B52" s="10" t="s">
        <v>2263</v>
      </c>
      <c r="C52" s="10" t="s">
        <v>2264</v>
      </c>
      <c r="D52" s="11">
        <v>45078</v>
      </c>
      <c r="E52" s="12">
        <v>149900</v>
      </c>
      <c r="F52" s="10" t="s">
        <v>29</v>
      </c>
      <c r="G52" s="10" t="s">
        <v>23</v>
      </c>
      <c r="H52" s="12">
        <v>149900</v>
      </c>
      <c r="I52" s="12">
        <v>70470</v>
      </c>
      <c r="J52" s="13">
        <f t="shared" ref="J52:J58" si="15">I52/H52*100</f>
        <v>47.011340893929287</v>
      </c>
      <c r="K52" s="12">
        <v>140945</v>
      </c>
      <c r="L52" s="12">
        <f>H52-90945</f>
        <v>58955</v>
      </c>
      <c r="M52" s="12">
        <v>50000</v>
      </c>
      <c r="N52" s="12">
        <f t="shared" ref="N52:N58" si="16">E52*0.2</f>
        <v>29980</v>
      </c>
      <c r="O52" s="14">
        <v>1</v>
      </c>
      <c r="P52" s="12">
        <f t="shared" ref="P52:P58" si="17">L52/O52</f>
        <v>58955</v>
      </c>
      <c r="Q52" s="15">
        <f t="shared" ref="Q52:Q58" si="18">L52/O52/43560</f>
        <v>1.3534205693296602</v>
      </c>
      <c r="R52" s="15">
        <f t="shared" ref="R52:R58" si="19">M52/O52/43560</f>
        <v>1.1478420569329659</v>
      </c>
      <c r="S52" s="10" t="s">
        <v>97</v>
      </c>
    </row>
    <row r="53" spans="1:19" x14ac:dyDescent="0.25">
      <c r="A53" s="10" t="s">
        <v>2265</v>
      </c>
      <c r="B53" s="10" t="s">
        <v>2266</v>
      </c>
      <c r="C53" s="10" t="s">
        <v>2264</v>
      </c>
      <c r="D53" s="11">
        <v>45456</v>
      </c>
      <c r="E53" s="12">
        <v>138500</v>
      </c>
      <c r="F53" s="10" t="s">
        <v>29</v>
      </c>
      <c r="G53" s="10" t="s">
        <v>23</v>
      </c>
      <c r="H53" s="12">
        <v>138500</v>
      </c>
      <c r="I53" s="12">
        <v>72860</v>
      </c>
      <c r="J53" s="13">
        <f t="shared" si="15"/>
        <v>52.60649819494585</v>
      </c>
      <c r="K53" s="12">
        <v>145710</v>
      </c>
      <c r="L53" s="12">
        <f>H53-95710</f>
        <v>42790</v>
      </c>
      <c r="M53" s="12">
        <v>50000</v>
      </c>
      <c r="N53" s="12">
        <f t="shared" si="16"/>
        <v>27700</v>
      </c>
      <c r="O53" s="14">
        <v>1</v>
      </c>
      <c r="P53" s="12">
        <f t="shared" si="17"/>
        <v>42790</v>
      </c>
      <c r="Q53" s="15">
        <f t="shared" si="18"/>
        <v>0.98232323232323238</v>
      </c>
      <c r="R53" s="15">
        <f t="shared" si="19"/>
        <v>1.1478420569329659</v>
      </c>
      <c r="S53" s="10" t="s">
        <v>97</v>
      </c>
    </row>
    <row r="54" spans="1:19" x14ac:dyDescent="0.25">
      <c r="A54" s="10" t="s">
        <v>2267</v>
      </c>
      <c r="B54" s="10" t="s">
        <v>2268</v>
      </c>
      <c r="C54" s="10" t="s">
        <v>2264</v>
      </c>
      <c r="D54" s="11">
        <v>45589</v>
      </c>
      <c r="E54" s="12">
        <v>190000</v>
      </c>
      <c r="F54" s="10" t="s">
        <v>22</v>
      </c>
      <c r="G54" s="10" t="s">
        <v>23</v>
      </c>
      <c r="H54" s="12">
        <v>190000</v>
      </c>
      <c r="I54" s="12">
        <v>95840</v>
      </c>
      <c r="J54" s="13">
        <f t="shared" si="15"/>
        <v>50.442105263157899</v>
      </c>
      <c r="K54" s="12">
        <v>191670</v>
      </c>
      <c r="L54" s="12">
        <f>H54-141670</f>
        <v>48330</v>
      </c>
      <c r="M54" s="12">
        <v>50000</v>
      </c>
      <c r="N54" s="12">
        <f t="shared" si="16"/>
        <v>38000</v>
      </c>
      <c r="O54" s="14">
        <v>1</v>
      </c>
      <c r="P54" s="12">
        <f t="shared" si="17"/>
        <v>48330</v>
      </c>
      <c r="Q54" s="15">
        <f t="shared" si="18"/>
        <v>1.109504132231405</v>
      </c>
      <c r="R54" s="15">
        <f t="shared" si="19"/>
        <v>1.1478420569329659</v>
      </c>
      <c r="S54" s="10" t="s">
        <v>97</v>
      </c>
    </row>
    <row r="55" spans="1:19" x14ac:dyDescent="0.25">
      <c r="A55" s="10" t="s">
        <v>2269</v>
      </c>
      <c r="B55" s="10" t="s">
        <v>2270</v>
      </c>
      <c r="C55" s="10" t="s">
        <v>2264</v>
      </c>
      <c r="D55" s="11">
        <v>45051</v>
      </c>
      <c r="E55" s="12">
        <v>183000</v>
      </c>
      <c r="F55" s="10" t="s">
        <v>22</v>
      </c>
      <c r="G55" s="10" t="s">
        <v>23</v>
      </c>
      <c r="H55" s="12">
        <v>183000</v>
      </c>
      <c r="I55" s="12">
        <v>91420</v>
      </c>
      <c r="J55" s="13">
        <f t="shared" si="15"/>
        <v>49.956284153005463</v>
      </c>
      <c r="K55" s="12">
        <v>182840</v>
      </c>
      <c r="L55" s="12">
        <f>H55-132840</f>
        <v>50160</v>
      </c>
      <c r="M55" s="12">
        <v>50000</v>
      </c>
      <c r="N55" s="12">
        <f t="shared" si="16"/>
        <v>36600</v>
      </c>
      <c r="O55" s="14">
        <v>1</v>
      </c>
      <c r="P55" s="12">
        <f t="shared" si="17"/>
        <v>50160</v>
      </c>
      <c r="Q55" s="15">
        <f t="shared" si="18"/>
        <v>1.1515151515151516</v>
      </c>
      <c r="R55" s="15">
        <f t="shared" si="19"/>
        <v>1.1478420569329659</v>
      </c>
      <c r="S55" s="10" t="s">
        <v>97</v>
      </c>
    </row>
    <row r="56" spans="1:19" x14ac:dyDescent="0.25">
      <c r="A56" s="10" t="s">
        <v>2271</v>
      </c>
      <c r="B56" s="10" t="s">
        <v>2272</v>
      </c>
      <c r="C56" s="10" t="s">
        <v>2264</v>
      </c>
      <c r="D56" s="11">
        <v>45476</v>
      </c>
      <c r="E56" s="12">
        <v>210500</v>
      </c>
      <c r="F56" s="10" t="s">
        <v>29</v>
      </c>
      <c r="G56" s="10" t="s">
        <v>23</v>
      </c>
      <c r="H56" s="12">
        <v>210500</v>
      </c>
      <c r="I56" s="12">
        <v>70820</v>
      </c>
      <c r="J56" s="13">
        <f t="shared" si="15"/>
        <v>33.643705463182897</v>
      </c>
      <c r="K56" s="12">
        <v>141643</v>
      </c>
      <c r="L56" s="12">
        <f>H56-91643</f>
        <v>118857</v>
      </c>
      <c r="M56" s="12">
        <v>50000</v>
      </c>
      <c r="N56" s="12">
        <f t="shared" si="16"/>
        <v>42100</v>
      </c>
      <c r="O56" s="14">
        <v>1</v>
      </c>
      <c r="P56" s="12">
        <f t="shared" si="17"/>
        <v>118857</v>
      </c>
      <c r="Q56" s="15">
        <f t="shared" si="18"/>
        <v>2.7285812672176308</v>
      </c>
      <c r="R56" s="15">
        <f t="shared" si="19"/>
        <v>1.1478420569329659</v>
      </c>
      <c r="S56" s="10" t="s">
        <v>97</v>
      </c>
    </row>
    <row r="57" spans="1:19" x14ac:dyDescent="0.25">
      <c r="A57" s="10" t="s">
        <v>2273</v>
      </c>
      <c r="B57" s="10" t="s">
        <v>2274</v>
      </c>
      <c r="C57" s="10" t="s">
        <v>2264</v>
      </c>
      <c r="D57" s="11">
        <v>45533</v>
      </c>
      <c r="E57" s="12">
        <v>198000</v>
      </c>
      <c r="F57" s="10" t="s">
        <v>29</v>
      </c>
      <c r="G57" s="10" t="s">
        <v>23</v>
      </c>
      <c r="H57" s="12">
        <v>198000</v>
      </c>
      <c r="I57" s="12">
        <v>90690</v>
      </c>
      <c r="J57" s="13">
        <f t="shared" si="15"/>
        <v>45.803030303030297</v>
      </c>
      <c r="K57" s="12">
        <v>181387</v>
      </c>
      <c r="L57" s="12">
        <f>H57-131387</f>
        <v>66613</v>
      </c>
      <c r="M57" s="12">
        <v>50000</v>
      </c>
      <c r="N57" s="12">
        <f t="shared" si="16"/>
        <v>39600</v>
      </c>
      <c r="O57" s="14">
        <v>1</v>
      </c>
      <c r="P57" s="12">
        <f t="shared" si="17"/>
        <v>66613</v>
      </c>
      <c r="Q57" s="15">
        <f t="shared" si="18"/>
        <v>1.5292240587695134</v>
      </c>
      <c r="R57" s="15">
        <f t="shared" si="19"/>
        <v>1.1478420569329659</v>
      </c>
      <c r="S57" s="10" t="s">
        <v>97</v>
      </c>
    </row>
    <row r="58" spans="1:19" x14ac:dyDescent="0.25">
      <c r="A58" s="10" t="s">
        <v>2275</v>
      </c>
      <c r="B58" s="10" t="s">
        <v>2276</v>
      </c>
      <c r="C58" s="10" t="s">
        <v>2264</v>
      </c>
      <c r="D58" s="11">
        <v>45065</v>
      </c>
      <c r="E58" s="12">
        <v>200000</v>
      </c>
      <c r="F58" s="10" t="s">
        <v>22</v>
      </c>
      <c r="G58" s="10" t="s">
        <v>23</v>
      </c>
      <c r="H58" s="12">
        <v>200000</v>
      </c>
      <c r="I58" s="12">
        <v>100160</v>
      </c>
      <c r="J58" s="13">
        <f t="shared" si="15"/>
        <v>50.080000000000005</v>
      </c>
      <c r="K58" s="12">
        <v>200318</v>
      </c>
      <c r="L58" s="12">
        <f>H58-150318</f>
        <v>49682</v>
      </c>
      <c r="M58" s="12">
        <v>50000</v>
      </c>
      <c r="N58" s="12">
        <f t="shared" si="16"/>
        <v>40000</v>
      </c>
      <c r="O58" s="14">
        <v>1</v>
      </c>
      <c r="P58" s="12">
        <f t="shared" si="17"/>
        <v>49682</v>
      </c>
      <c r="Q58" s="15">
        <f t="shared" si="18"/>
        <v>1.1405417814508723</v>
      </c>
      <c r="R58" s="15">
        <f t="shared" si="19"/>
        <v>1.1478420569329659</v>
      </c>
      <c r="S58" s="10" t="s">
        <v>97</v>
      </c>
    </row>
    <row r="59" spans="1:19" ht="15.75" thickBot="1" x14ac:dyDescent="0.3">
      <c r="A59" s="16"/>
      <c r="B59" s="16"/>
      <c r="C59" s="16"/>
      <c r="D59" s="17"/>
      <c r="E59" s="18"/>
      <c r="F59" s="16"/>
      <c r="G59" s="16"/>
      <c r="H59" s="18"/>
      <c r="I59" s="18"/>
      <c r="J59" s="19"/>
      <c r="K59" s="18"/>
      <c r="L59" s="18">
        <f>AVERAGE(L52:L58)</f>
        <v>62198.142857142855</v>
      </c>
      <c r="M59" s="18">
        <f>AVERAGE(M52:M58)</f>
        <v>50000</v>
      </c>
      <c r="N59" s="18">
        <f>AVERAGE(N52:N58)</f>
        <v>36282.857142857145</v>
      </c>
      <c r="O59" s="20"/>
      <c r="P59" s="18"/>
      <c r="Q59" s="21">
        <f>AVERAGE(Q52:Q58)</f>
        <v>1.4278728846910664</v>
      </c>
      <c r="R59" s="21">
        <f>AVERAGE(R52:R58)</f>
        <v>1.1478420569329659</v>
      </c>
      <c r="S59" s="16"/>
    </row>
    <row r="60" spans="1:19" ht="15.75" thickTop="1" x14ac:dyDescent="0.25"/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8083-2770-45A3-B8B4-14A5DDB9A0FF}">
  <dimension ref="A1:S87"/>
  <sheetViews>
    <sheetView workbookViewId="0">
      <selection activeCell="A82" sqref="A82:XFD83"/>
    </sheetView>
  </sheetViews>
  <sheetFormatPr defaultRowHeight="15" x14ac:dyDescent="0.25"/>
  <cols>
    <col min="1" max="1" width="12.42578125" bestFit="1" customWidth="1"/>
    <col min="2" max="2" width="17.42578125" bestFit="1" customWidth="1"/>
    <col min="3" max="3" width="12.5703125" bestFit="1" customWidth="1"/>
    <col min="7" max="7" width="13.140625" bestFit="1" customWidth="1"/>
    <col min="13" max="13" width="10.8554687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180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2277</v>
      </c>
      <c r="B2" s="10" t="s">
        <v>2278</v>
      </c>
      <c r="C2" s="10" t="s">
        <v>2279</v>
      </c>
      <c r="D2" s="11">
        <v>45387</v>
      </c>
      <c r="E2" s="12">
        <v>1020000</v>
      </c>
      <c r="F2" s="10" t="s">
        <v>29</v>
      </c>
      <c r="G2" s="10" t="s">
        <v>23</v>
      </c>
      <c r="H2" s="12">
        <v>1020000</v>
      </c>
      <c r="I2" s="12">
        <v>448180</v>
      </c>
      <c r="J2" s="13">
        <f t="shared" ref="J2:J11" si="0">I2/H2*100</f>
        <v>43.939215686274508</v>
      </c>
      <c r="K2" s="12">
        <v>896350</v>
      </c>
      <c r="L2" s="12">
        <f>H2-725160</f>
        <v>294840</v>
      </c>
      <c r="M2" s="12">
        <v>171190</v>
      </c>
      <c r="N2" s="12">
        <f t="shared" ref="N2:N11" si="1">E2*0.2</f>
        <v>204000</v>
      </c>
      <c r="O2" s="14">
        <v>1.248</v>
      </c>
      <c r="P2" s="12">
        <f t="shared" ref="P2:P11" si="2">L2/O2</f>
        <v>236250</v>
      </c>
      <c r="Q2" s="15">
        <f t="shared" ref="Q2:Q11" si="3">L2/O2/43560</f>
        <v>5.4235537190082646</v>
      </c>
      <c r="R2" s="15">
        <f t="shared" ref="R2:R11" si="4">M2/O2/43560</f>
        <v>3.1490237456146546</v>
      </c>
      <c r="S2" s="10" t="s">
        <v>24</v>
      </c>
    </row>
    <row r="3" spans="1:19" x14ac:dyDescent="0.25">
      <c r="A3" s="10" t="s">
        <v>2280</v>
      </c>
      <c r="B3" s="10" t="s">
        <v>2281</v>
      </c>
      <c r="C3" s="10" t="s">
        <v>2279</v>
      </c>
      <c r="D3" s="11">
        <v>45357</v>
      </c>
      <c r="E3" s="12">
        <v>1300000</v>
      </c>
      <c r="F3" s="10" t="s">
        <v>22</v>
      </c>
      <c r="G3" s="10" t="s">
        <v>23</v>
      </c>
      <c r="H3" s="12">
        <v>1300000</v>
      </c>
      <c r="I3" s="12">
        <v>645290</v>
      </c>
      <c r="J3" s="13">
        <f t="shared" si="0"/>
        <v>49.637692307692312</v>
      </c>
      <c r="K3" s="12">
        <v>1290585</v>
      </c>
      <c r="L3" s="12">
        <f>H3-1149581</f>
        <v>150419</v>
      </c>
      <c r="M3" s="12">
        <v>141004</v>
      </c>
      <c r="N3" s="12">
        <f t="shared" si="1"/>
        <v>260000</v>
      </c>
      <c r="O3" s="14">
        <v>0.498</v>
      </c>
      <c r="P3" s="12">
        <f t="shared" si="2"/>
        <v>302046.18473895581</v>
      </c>
      <c r="Q3" s="15">
        <f t="shared" si="3"/>
        <v>6.9340262795903538</v>
      </c>
      <c r="R3" s="15">
        <f t="shared" si="4"/>
        <v>6.5000129074608815</v>
      </c>
      <c r="S3" s="10" t="s">
        <v>24</v>
      </c>
    </row>
    <row r="4" spans="1:19" x14ac:dyDescent="0.25">
      <c r="A4" s="10" t="s">
        <v>2282</v>
      </c>
      <c r="B4" s="10" t="s">
        <v>2283</v>
      </c>
      <c r="C4" s="10" t="s">
        <v>2279</v>
      </c>
      <c r="D4" s="11">
        <v>45156</v>
      </c>
      <c r="E4" s="12">
        <v>480000</v>
      </c>
      <c r="F4" s="10" t="s">
        <v>22</v>
      </c>
      <c r="G4" s="10" t="s">
        <v>23</v>
      </c>
      <c r="H4" s="12">
        <v>480000</v>
      </c>
      <c r="I4" s="12">
        <v>253340</v>
      </c>
      <c r="J4" s="13">
        <f t="shared" si="0"/>
        <v>52.779166666666669</v>
      </c>
      <c r="K4" s="12">
        <v>506675</v>
      </c>
      <c r="L4" s="12">
        <f>H4-318735</f>
        <v>161265</v>
      </c>
      <c r="M4" s="12">
        <v>187940</v>
      </c>
      <c r="N4" s="12">
        <f t="shared" si="1"/>
        <v>96000</v>
      </c>
      <c r="O4" s="14">
        <v>0.83599999999999997</v>
      </c>
      <c r="P4" s="12">
        <f t="shared" si="2"/>
        <v>192900.71770334928</v>
      </c>
      <c r="Q4" s="15">
        <f t="shared" si="3"/>
        <v>4.4283911318491569</v>
      </c>
      <c r="R4" s="15">
        <f t="shared" si="4"/>
        <v>5.1608956023919053</v>
      </c>
      <c r="S4" s="10" t="s">
        <v>24</v>
      </c>
    </row>
    <row r="5" spans="1:19" x14ac:dyDescent="0.25">
      <c r="A5" s="10" t="s">
        <v>2282</v>
      </c>
      <c r="B5" s="10" t="s">
        <v>2283</v>
      </c>
      <c r="C5" s="10" t="s">
        <v>2279</v>
      </c>
      <c r="D5" s="11">
        <v>45597</v>
      </c>
      <c r="E5" s="12">
        <v>550000</v>
      </c>
      <c r="F5" s="10" t="s">
        <v>22</v>
      </c>
      <c r="G5" s="10" t="s">
        <v>23</v>
      </c>
      <c r="H5" s="12">
        <v>550000</v>
      </c>
      <c r="I5" s="12">
        <v>293510</v>
      </c>
      <c r="J5" s="13">
        <f t="shared" si="0"/>
        <v>53.365454545454547</v>
      </c>
      <c r="K5" s="12">
        <v>587012</v>
      </c>
      <c r="L5" s="12">
        <f>H5-399072</f>
        <v>150928</v>
      </c>
      <c r="M5" s="12">
        <v>187940</v>
      </c>
      <c r="N5" s="12">
        <f t="shared" si="1"/>
        <v>110000</v>
      </c>
      <c r="O5" s="14">
        <v>0.83599999999999997</v>
      </c>
      <c r="P5" s="12">
        <f t="shared" si="2"/>
        <v>180535.88516746412</v>
      </c>
      <c r="Q5" s="15">
        <f t="shared" si="3"/>
        <v>4.1445336356167157</v>
      </c>
      <c r="R5" s="15">
        <f t="shared" si="4"/>
        <v>5.1608956023919053</v>
      </c>
      <c r="S5" s="10" t="s">
        <v>24</v>
      </c>
    </row>
    <row r="6" spans="1:19" x14ac:dyDescent="0.25">
      <c r="A6" s="10" t="s">
        <v>2284</v>
      </c>
      <c r="B6" s="10" t="s">
        <v>2285</v>
      </c>
      <c r="C6" s="10" t="s">
        <v>2279</v>
      </c>
      <c r="D6" s="11">
        <v>45365</v>
      </c>
      <c r="E6" s="12">
        <v>849000</v>
      </c>
      <c r="F6" s="10" t="s">
        <v>29</v>
      </c>
      <c r="G6" s="10" t="s">
        <v>23</v>
      </c>
      <c r="H6" s="12">
        <v>849000</v>
      </c>
      <c r="I6" s="12">
        <v>258780</v>
      </c>
      <c r="J6" s="13">
        <f t="shared" si="0"/>
        <v>30.480565371024738</v>
      </c>
      <c r="K6" s="12">
        <v>517560</v>
      </c>
      <c r="L6" s="12">
        <f>H6-297963</f>
        <v>551037</v>
      </c>
      <c r="M6" s="12">
        <v>219597</v>
      </c>
      <c r="N6" s="12">
        <f t="shared" si="1"/>
        <v>169800</v>
      </c>
      <c r="O6" s="14">
        <v>1.8049999999999999</v>
      </c>
      <c r="P6" s="12">
        <f t="shared" si="2"/>
        <v>305283.65650969528</v>
      </c>
      <c r="Q6" s="15">
        <f t="shared" si="3"/>
        <v>7.0083484047221143</v>
      </c>
      <c r="R6" s="15">
        <f t="shared" si="4"/>
        <v>2.7929381958593744</v>
      </c>
      <c r="S6" s="10" t="s">
        <v>24</v>
      </c>
    </row>
    <row r="7" spans="1:19" x14ac:dyDescent="0.25">
      <c r="A7" s="10" t="s">
        <v>2286</v>
      </c>
      <c r="B7" s="10" t="s">
        <v>2287</v>
      </c>
      <c r="C7" s="10" t="s">
        <v>2279</v>
      </c>
      <c r="D7" s="11">
        <v>45029</v>
      </c>
      <c r="E7" s="12">
        <v>1375000</v>
      </c>
      <c r="F7" s="10" t="s">
        <v>29</v>
      </c>
      <c r="G7" s="10" t="s">
        <v>23</v>
      </c>
      <c r="H7" s="12">
        <v>1375000</v>
      </c>
      <c r="I7" s="12">
        <v>451350</v>
      </c>
      <c r="J7" s="13">
        <f t="shared" si="0"/>
        <v>32.825454545454548</v>
      </c>
      <c r="K7" s="12">
        <v>902703</v>
      </c>
      <c r="L7" s="12">
        <f>H7-697416</f>
        <v>677584</v>
      </c>
      <c r="M7" s="12">
        <v>205287</v>
      </c>
      <c r="N7" s="12">
        <f t="shared" si="1"/>
        <v>275000</v>
      </c>
      <c r="O7" s="14">
        <v>1.367</v>
      </c>
      <c r="P7" s="12">
        <f t="shared" si="2"/>
        <v>495672.27505486464</v>
      </c>
      <c r="Q7" s="15">
        <f t="shared" si="3"/>
        <v>11.379069675272374</v>
      </c>
      <c r="R7" s="15">
        <f t="shared" si="4"/>
        <v>3.4475062522545397</v>
      </c>
      <c r="S7" s="10" t="s">
        <v>24</v>
      </c>
    </row>
    <row r="8" spans="1:19" x14ac:dyDescent="0.25">
      <c r="A8" s="10" t="s">
        <v>2288</v>
      </c>
      <c r="B8" s="10" t="s">
        <v>2289</v>
      </c>
      <c r="C8" s="10" t="s">
        <v>2279</v>
      </c>
      <c r="D8" s="11">
        <v>45322</v>
      </c>
      <c r="E8" s="12">
        <v>479500</v>
      </c>
      <c r="F8" s="10" t="s">
        <v>22</v>
      </c>
      <c r="G8" s="10" t="s">
        <v>23</v>
      </c>
      <c r="H8" s="12">
        <v>479500</v>
      </c>
      <c r="I8" s="12">
        <v>255080</v>
      </c>
      <c r="J8" s="13">
        <f t="shared" si="0"/>
        <v>53.197080291970799</v>
      </c>
      <c r="K8" s="12">
        <v>510162</v>
      </c>
      <c r="L8" s="12">
        <f>H8-351830</f>
        <v>127670</v>
      </c>
      <c r="M8" s="12">
        <v>158332</v>
      </c>
      <c r="N8" s="12">
        <f t="shared" si="1"/>
        <v>95900</v>
      </c>
      <c r="O8" s="14">
        <v>0.78500000000000003</v>
      </c>
      <c r="P8" s="12">
        <f t="shared" si="2"/>
        <v>162636.94267515923</v>
      </c>
      <c r="Q8" s="15">
        <f t="shared" si="3"/>
        <v>3.7336304562708729</v>
      </c>
      <c r="R8" s="15">
        <f t="shared" si="4"/>
        <v>4.6303217467085442</v>
      </c>
      <c r="S8" s="10" t="s">
        <v>24</v>
      </c>
    </row>
    <row r="9" spans="1:19" x14ac:dyDescent="0.25">
      <c r="A9" s="10" t="s">
        <v>2290</v>
      </c>
      <c r="B9" s="10" t="s">
        <v>2291</v>
      </c>
      <c r="C9" s="10" t="s">
        <v>2279</v>
      </c>
      <c r="D9" s="11">
        <v>45393</v>
      </c>
      <c r="E9" s="12">
        <v>670000</v>
      </c>
      <c r="F9" s="10" t="s">
        <v>29</v>
      </c>
      <c r="G9" s="10" t="s">
        <v>23</v>
      </c>
      <c r="H9" s="12">
        <v>670000</v>
      </c>
      <c r="I9" s="12">
        <v>291890</v>
      </c>
      <c r="J9" s="13">
        <f t="shared" si="0"/>
        <v>43.565671641791042</v>
      </c>
      <c r="K9" s="12">
        <v>583785</v>
      </c>
      <c r="L9" s="12">
        <f>H9-429238</f>
        <v>240762</v>
      </c>
      <c r="M9" s="12">
        <v>154547</v>
      </c>
      <c r="N9" s="12">
        <f t="shared" si="1"/>
        <v>134000</v>
      </c>
      <c r="O9" s="14">
        <v>0.73099999999999998</v>
      </c>
      <c r="P9" s="12">
        <f t="shared" si="2"/>
        <v>329359.78112175106</v>
      </c>
      <c r="Q9" s="15">
        <f t="shared" si="3"/>
        <v>7.5610601726756439</v>
      </c>
      <c r="R9" s="15">
        <f t="shared" si="4"/>
        <v>4.8535033207337648</v>
      </c>
      <c r="S9" s="10" t="s">
        <v>24</v>
      </c>
    </row>
    <row r="10" spans="1:19" x14ac:dyDescent="0.25">
      <c r="A10" s="10" t="s">
        <v>2292</v>
      </c>
      <c r="B10" s="10" t="s">
        <v>2293</v>
      </c>
      <c r="C10" s="10" t="s">
        <v>2279</v>
      </c>
      <c r="D10" s="11">
        <v>45288</v>
      </c>
      <c r="E10" s="12">
        <v>465000</v>
      </c>
      <c r="F10" s="10" t="s">
        <v>29</v>
      </c>
      <c r="G10" s="10" t="s">
        <v>23</v>
      </c>
      <c r="H10" s="12">
        <v>465000</v>
      </c>
      <c r="I10" s="12">
        <v>203180</v>
      </c>
      <c r="J10" s="13">
        <f t="shared" si="0"/>
        <v>43.694623655913979</v>
      </c>
      <c r="K10" s="12">
        <v>406358</v>
      </c>
      <c r="L10" s="12">
        <f>H10-214171</f>
        <v>250829</v>
      </c>
      <c r="M10" s="12">
        <v>192187</v>
      </c>
      <c r="N10" s="12">
        <f t="shared" si="1"/>
        <v>93000</v>
      </c>
      <c r="O10" s="14">
        <v>0.96599999999999997</v>
      </c>
      <c r="P10" s="12">
        <f t="shared" si="2"/>
        <v>259657.34989648033</v>
      </c>
      <c r="Q10" s="15">
        <f t="shared" si="3"/>
        <v>5.960912532058777</v>
      </c>
      <c r="R10" s="15">
        <f t="shared" si="4"/>
        <v>4.5672944388359413</v>
      </c>
      <c r="S10" s="10" t="s">
        <v>24</v>
      </c>
    </row>
    <row r="11" spans="1:19" x14ac:dyDescent="0.25">
      <c r="A11" s="10" t="s">
        <v>2294</v>
      </c>
      <c r="B11" s="10" t="s">
        <v>2295</v>
      </c>
      <c r="C11" s="10" t="s">
        <v>2279</v>
      </c>
      <c r="D11" s="11">
        <v>45407</v>
      </c>
      <c r="E11" s="12">
        <v>600000</v>
      </c>
      <c r="F11" s="10" t="s">
        <v>22</v>
      </c>
      <c r="G11" s="10" t="s">
        <v>23</v>
      </c>
      <c r="H11" s="12">
        <v>600000</v>
      </c>
      <c r="I11" s="12">
        <v>208270</v>
      </c>
      <c r="J11" s="13">
        <f t="shared" si="0"/>
        <v>34.711666666666666</v>
      </c>
      <c r="K11" s="12">
        <v>416549</v>
      </c>
      <c r="L11" s="12">
        <f>H11-210739</f>
        <v>389261</v>
      </c>
      <c r="M11" s="12">
        <v>205810</v>
      </c>
      <c r="N11" s="12">
        <f t="shared" si="1"/>
        <v>120000</v>
      </c>
      <c r="O11" s="14">
        <v>1.383</v>
      </c>
      <c r="P11" s="12">
        <f t="shared" si="2"/>
        <v>281461.31597975414</v>
      </c>
      <c r="Q11" s="15">
        <f t="shared" si="3"/>
        <v>6.46146271762521</v>
      </c>
      <c r="R11" s="15">
        <f t="shared" si="4"/>
        <v>3.4163033078434379</v>
      </c>
      <c r="S11" s="10" t="s">
        <v>24</v>
      </c>
    </row>
    <row r="12" spans="1:19" ht="15.75" thickBot="1" x14ac:dyDescent="0.3">
      <c r="A12" s="16"/>
      <c r="B12" s="16"/>
      <c r="C12" s="16"/>
      <c r="D12" s="17"/>
      <c r="E12" s="18"/>
      <c r="F12" s="16"/>
      <c r="G12" s="16"/>
      <c r="H12" s="18"/>
      <c r="I12" s="18"/>
      <c r="J12" s="19"/>
      <c r="K12" s="18"/>
      <c r="L12" s="18">
        <f>AVERAGE(L2:L11)</f>
        <v>299459.5</v>
      </c>
      <c r="M12" s="18">
        <f>AVERAGE(M2:M11)</f>
        <v>182383.4</v>
      </c>
      <c r="N12" s="18">
        <f>AVERAGE(N2:N11)</f>
        <v>155770</v>
      </c>
      <c r="O12" s="20"/>
      <c r="P12" s="18"/>
      <c r="Q12" s="21">
        <f>AVERAGE(Q2:Q11)</f>
        <v>6.3034988724689489</v>
      </c>
      <c r="R12" s="21">
        <f>AVERAGE(R2:R11)</f>
        <v>4.367869512009495</v>
      </c>
      <c r="S12" s="16"/>
    </row>
    <row r="13" spans="1:19" ht="15.75" thickTop="1" x14ac:dyDescent="0.25">
      <c r="A13" s="10"/>
      <c r="B13" s="10"/>
      <c r="C13" s="10"/>
      <c r="D13" s="11"/>
      <c r="E13" s="12"/>
      <c r="F13" s="10"/>
      <c r="G13" s="10"/>
      <c r="H13" s="12"/>
      <c r="I13" s="12"/>
      <c r="J13" s="13"/>
      <c r="K13" s="12"/>
      <c r="L13" s="12"/>
      <c r="M13" s="12"/>
      <c r="N13" s="12"/>
      <c r="O13" s="14"/>
      <c r="P13" s="12"/>
      <c r="Q13" s="15"/>
      <c r="R13" s="15"/>
      <c r="S13" s="10"/>
    </row>
    <row r="14" spans="1:19" x14ac:dyDescent="0.25">
      <c r="A14" s="10"/>
      <c r="B14" s="10"/>
      <c r="C14" s="10"/>
      <c r="D14" s="11"/>
      <c r="E14" s="12"/>
      <c r="F14" s="10"/>
      <c r="G14" s="10"/>
      <c r="H14" s="12"/>
      <c r="I14" s="12"/>
      <c r="J14" s="13"/>
      <c r="K14" s="12"/>
      <c r="L14" s="12"/>
      <c r="M14" s="12"/>
      <c r="N14" s="12"/>
      <c r="O14" s="14"/>
      <c r="P14" s="12"/>
      <c r="Q14" s="15"/>
      <c r="R14" s="15"/>
      <c r="S14" s="10"/>
    </row>
    <row r="15" spans="1:19" x14ac:dyDescent="0.25">
      <c r="A15" s="10" t="s">
        <v>2296</v>
      </c>
      <c r="B15" s="10" t="s">
        <v>2297</v>
      </c>
      <c r="C15" s="10" t="s">
        <v>2298</v>
      </c>
      <c r="D15" s="11">
        <v>45483</v>
      </c>
      <c r="E15" s="12">
        <v>440000</v>
      </c>
      <c r="F15" s="10" t="s">
        <v>29</v>
      </c>
      <c r="G15" s="10" t="s">
        <v>23</v>
      </c>
      <c r="H15" s="12">
        <v>440000</v>
      </c>
      <c r="I15" s="12">
        <v>171730</v>
      </c>
      <c r="J15" s="13">
        <f t="shared" ref="J15:J34" si="5">I15/H15*100</f>
        <v>39.029545454545456</v>
      </c>
      <c r="K15" s="12">
        <v>343452</v>
      </c>
      <c r="L15" s="12">
        <f>H15-241538</f>
        <v>198462</v>
      </c>
      <c r="M15" s="12">
        <v>101914</v>
      </c>
      <c r="N15" s="12">
        <f t="shared" ref="N15:N34" si="6">E15*0.2</f>
        <v>88000</v>
      </c>
      <c r="O15" s="14">
        <v>0.36699999999999999</v>
      </c>
      <c r="P15" s="12">
        <f t="shared" ref="P15:P34" si="7">L15/O15</f>
        <v>540768.3923705722</v>
      </c>
      <c r="Q15" s="15">
        <f t="shared" ref="Q15:Q34" si="8">L15/O15/43560</f>
        <v>12.414334076459417</v>
      </c>
      <c r="R15" s="15">
        <f t="shared" ref="R15:R34" si="9">M15/O15/43560</f>
        <v>6.374995934074458</v>
      </c>
      <c r="S15" s="10" t="s">
        <v>24</v>
      </c>
    </row>
    <row r="16" spans="1:19" x14ac:dyDescent="0.25">
      <c r="A16" s="10" t="s">
        <v>2299</v>
      </c>
      <c r="B16" s="10" t="s">
        <v>2300</v>
      </c>
      <c r="C16" s="10" t="s">
        <v>2298</v>
      </c>
      <c r="D16" s="11">
        <v>45471</v>
      </c>
      <c r="E16" s="12">
        <v>650000</v>
      </c>
      <c r="F16" s="10" t="s">
        <v>29</v>
      </c>
      <c r="G16" s="10" t="s">
        <v>23</v>
      </c>
      <c r="H16" s="12">
        <v>650000</v>
      </c>
      <c r="I16" s="12">
        <v>241890</v>
      </c>
      <c r="J16" s="13">
        <f t="shared" si="5"/>
        <v>37.213846153846156</v>
      </c>
      <c r="K16" s="12">
        <v>483770</v>
      </c>
      <c r="L16" s="12">
        <f>H16-361911</f>
        <v>288089</v>
      </c>
      <c r="M16" s="12">
        <v>121859</v>
      </c>
      <c r="N16" s="12">
        <f t="shared" si="6"/>
        <v>130000</v>
      </c>
      <c r="O16" s="14">
        <v>0.373</v>
      </c>
      <c r="P16" s="12">
        <f t="shared" si="7"/>
        <v>772356.56836461124</v>
      </c>
      <c r="Q16" s="15">
        <f t="shared" si="8"/>
        <v>17.730867042346446</v>
      </c>
      <c r="R16" s="15">
        <f t="shared" si="9"/>
        <v>7.4999938453509012</v>
      </c>
      <c r="S16" s="10" t="s">
        <v>24</v>
      </c>
    </row>
    <row r="17" spans="1:19" x14ac:dyDescent="0.25">
      <c r="A17" s="10" t="s">
        <v>2301</v>
      </c>
      <c r="B17" s="10" t="s">
        <v>2302</v>
      </c>
      <c r="C17" s="10" t="s">
        <v>2298</v>
      </c>
      <c r="D17" s="11">
        <v>45267</v>
      </c>
      <c r="E17" s="12">
        <v>525000</v>
      </c>
      <c r="F17" s="10" t="s">
        <v>22</v>
      </c>
      <c r="G17" s="10" t="s">
        <v>23</v>
      </c>
      <c r="H17" s="12">
        <v>525000</v>
      </c>
      <c r="I17" s="12">
        <v>251700</v>
      </c>
      <c r="J17" s="13">
        <f t="shared" si="5"/>
        <v>47.942857142857143</v>
      </c>
      <c r="K17" s="12">
        <v>503402</v>
      </c>
      <c r="L17" s="12">
        <f>H17-376642</f>
        <v>148358</v>
      </c>
      <c r="M17" s="12">
        <v>126760</v>
      </c>
      <c r="N17" s="12">
        <f t="shared" si="6"/>
        <v>105000</v>
      </c>
      <c r="O17" s="14">
        <v>0.38800000000000001</v>
      </c>
      <c r="P17" s="12">
        <f t="shared" si="7"/>
        <v>382365.97938144329</v>
      </c>
      <c r="Q17" s="15">
        <f t="shared" si="8"/>
        <v>8.7779150454876795</v>
      </c>
      <c r="R17" s="15">
        <f t="shared" si="9"/>
        <v>7.5000236668465341</v>
      </c>
      <c r="S17" s="10" t="s">
        <v>24</v>
      </c>
    </row>
    <row r="18" spans="1:19" x14ac:dyDescent="0.25">
      <c r="A18" s="10" t="s">
        <v>2303</v>
      </c>
      <c r="B18" s="10" t="s">
        <v>2304</v>
      </c>
      <c r="C18" s="10" t="s">
        <v>2298</v>
      </c>
      <c r="D18" s="11">
        <v>45548</v>
      </c>
      <c r="E18" s="12">
        <v>506500</v>
      </c>
      <c r="F18" s="10" t="s">
        <v>29</v>
      </c>
      <c r="G18" s="10" t="s">
        <v>23</v>
      </c>
      <c r="H18" s="12">
        <v>506500</v>
      </c>
      <c r="I18" s="12">
        <v>211090</v>
      </c>
      <c r="J18" s="13">
        <f t="shared" si="5"/>
        <v>41.676209279368216</v>
      </c>
      <c r="K18" s="12">
        <v>422172</v>
      </c>
      <c r="L18" s="12">
        <f>H18-301946</f>
        <v>204554</v>
      </c>
      <c r="M18" s="12">
        <v>120226</v>
      </c>
      <c r="N18" s="12">
        <f t="shared" si="6"/>
        <v>101300</v>
      </c>
      <c r="O18" s="14">
        <v>0.36799999999999999</v>
      </c>
      <c r="P18" s="12">
        <f t="shared" si="7"/>
        <v>555853.26086956519</v>
      </c>
      <c r="Q18" s="15">
        <f t="shared" si="8"/>
        <v>12.760635006188366</v>
      </c>
      <c r="R18" s="15">
        <f t="shared" si="9"/>
        <v>7.5000249530881939</v>
      </c>
      <c r="S18" s="10" t="s">
        <v>24</v>
      </c>
    </row>
    <row r="19" spans="1:19" x14ac:dyDescent="0.25">
      <c r="A19" s="10" t="s">
        <v>2305</v>
      </c>
      <c r="B19" s="10" t="s">
        <v>2306</v>
      </c>
      <c r="C19" s="10" t="s">
        <v>2298</v>
      </c>
      <c r="D19" s="11">
        <v>45700</v>
      </c>
      <c r="E19" s="12">
        <v>545000</v>
      </c>
      <c r="F19" s="10" t="s">
        <v>22</v>
      </c>
      <c r="G19" s="10" t="s">
        <v>23</v>
      </c>
      <c r="H19" s="12">
        <v>545000</v>
      </c>
      <c r="I19" s="12">
        <v>272500</v>
      </c>
      <c r="J19" s="13">
        <f t="shared" si="5"/>
        <v>50</v>
      </c>
      <c r="K19" s="12">
        <v>545008</v>
      </c>
      <c r="L19" s="12">
        <f>H19-429029</f>
        <v>115971</v>
      </c>
      <c r="M19" s="12">
        <v>115979</v>
      </c>
      <c r="N19" s="12">
        <f t="shared" si="6"/>
        <v>109000</v>
      </c>
      <c r="O19" s="14">
        <v>0.35499999999999998</v>
      </c>
      <c r="P19" s="12">
        <f t="shared" si="7"/>
        <v>326678.87323943665</v>
      </c>
      <c r="Q19" s="15">
        <f t="shared" si="8"/>
        <v>7.4995149963139731</v>
      </c>
      <c r="R19" s="15">
        <f t="shared" si="9"/>
        <v>7.5000323335790693</v>
      </c>
      <c r="S19" s="10" t="s">
        <v>24</v>
      </c>
    </row>
    <row r="20" spans="1:19" x14ac:dyDescent="0.25">
      <c r="A20" s="10" t="s">
        <v>2307</v>
      </c>
      <c r="B20" s="10" t="s">
        <v>2308</v>
      </c>
      <c r="C20" s="10" t="s">
        <v>2298</v>
      </c>
      <c r="D20" s="11">
        <v>45159</v>
      </c>
      <c r="E20" s="12">
        <v>440000</v>
      </c>
      <c r="F20" s="10" t="s">
        <v>22</v>
      </c>
      <c r="G20" s="10" t="s">
        <v>23</v>
      </c>
      <c r="H20" s="12">
        <v>440000</v>
      </c>
      <c r="I20" s="12">
        <v>238450</v>
      </c>
      <c r="J20" s="13">
        <f t="shared" si="5"/>
        <v>54.193181818181827</v>
      </c>
      <c r="K20" s="12">
        <v>476909</v>
      </c>
      <c r="L20" s="12">
        <f>H20-356357</f>
        <v>83643</v>
      </c>
      <c r="M20" s="12">
        <v>120552</v>
      </c>
      <c r="N20" s="12">
        <f t="shared" si="6"/>
        <v>88000</v>
      </c>
      <c r="O20" s="14">
        <v>0.36899999999999999</v>
      </c>
      <c r="P20" s="12">
        <f t="shared" si="7"/>
        <v>226674.79674796748</v>
      </c>
      <c r="Q20" s="15">
        <f t="shared" si="8"/>
        <v>5.2037372990809798</v>
      </c>
      <c r="R20" s="15">
        <f t="shared" si="9"/>
        <v>7.4999813359015137</v>
      </c>
      <c r="S20" s="10" t="s">
        <v>24</v>
      </c>
    </row>
    <row r="21" spans="1:19" x14ac:dyDescent="0.25">
      <c r="A21" s="10" t="s">
        <v>2309</v>
      </c>
      <c r="B21" s="10" t="s">
        <v>2310</v>
      </c>
      <c r="C21" s="10" t="s">
        <v>2298</v>
      </c>
      <c r="D21" s="11">
        <v>45412</v>
      </c>
      <c r="E21" s="12">
        <v>730000</v>
      </c>
      <c r="F21" s="10" t="s">
        <v>29</v>
      </c>
      <c r="G21" s="10" t="s">
        <v>23</v>
      </c>
      <c r="H21" s="12">
        <v>730000</v>
      </c>
      <c r="I21" s="12">
        <v>248820</v>
      </c>
      <c r="J21" s="13">
        <f t="shared" si="5"/>
        <v>34.084931506849315</v>
      </c>
      <c r="K21" s="12">
        <v>497638</v>
      </c>
      <c r="L21" s="12">
        <f>H21-377086</f>
        <v>352914</v>
      </c>
      <c r="M21" s="12">
        <v>120552</v>
      </c>
      <c r="N21" s="12">
        <f t="shared" si="6"/>
        <v>146000</v>
      </c>
      <c r="O21" s="14">
        <v>0.36899999999999999</v>
      </c>
      <c r="P21" s="12">
        <f t="shared" si="7"/>
        <v>956406.50406504062</v>
      </c>
      <c r="Q21" s="15">
        <f t="shared" si="8"/>
        <v>21.956072177801666</v>
      </c>
      <c r="R21" s="15">
        <f t="shared" si="9"/>
        <v>7.4999813359015137</v>
      </c>
      <c r="S21" s="10" t="s">
        <v>24</v>
      </c>
    </row>
    <row r="22" spans="1:19" x14ac:dyDescent="0.25">
      <c r="A22" s="10" t="s">
        <v>2311</v>
      </c>
      <c r="B22" s="10" t="s">
        <v>2312</v>
      </c>
      <c r="C22" s="10" t="s">
        <v>2298</v>
      </c>
      <c r="D22" s="11">
        <v>45716</v>
      </c>
      <c r="E22" s="12">
        <v>450000</v>
      </c>
      <c r="F22" s="10" t="s">
        <v>29</v>
      </c>
      <c r="G22" s="10" t="s">
        <v>23</v>
      </c>
      <c r="H22" s="12">
        <v>450000</v>
      </c>
      <c r="I22" s="12">
        <v>239550</v>
      </c>
      <c r="J22" s="13">
        <f t="shared" si="5"/>
        <v>53.233333333333334</v>
      </c>
      <c r="K22" s="12">
        <v>479092</v>
      </c>
      <c r="L22" s="12">
        <f>H22-356579</f>
        <v>93421</v>
      </c>
      <c r="M22" s="12">
        <v>122513</v>
      </c>
      <c r="N22" s="12">
        <f t="shared" si="6"/>
        <v>90000</v>
      </c>
      <c r="O22" s="14">
        <v>0.375</v>
      </c>
      <c r="P22" s="12">
        <f t="shared" si="7"/>
        <v>249122.66666666666</v>
      </c>
      <c r="Q22" s="15">
        <f t="shared" si="8"/>
        <v>5.7190694827058461</v>
      </c>
      <c r="R22" s="15">
        <f t="shared" si="9"/>
        <v>7.5000306091215174</v>
      </c>
      <c r="S22" s="10" t="s">
        <v>24</v>
      </c>
    </row>
    <row r="23" spans="1:19" x14ac:dyDescent="0.25">
      <c r="A23" s="10" t="s">
        <v>2313</v>
      </c>
      <c r="B23" s="10" t="s">
        <v>2314</v>
      </c>
      <c r="C23" s="10" t="s">
        <v>2298</v>
      </c>
      <c r="D23" s="11">
        <v>45128</v>
      </c>
      <c r="E23" s="12">
        <v>394675</v>
      </c>
      <c r="F23" s="10" t="s">
        <v>29</v>
      </c>
      <c r="G23" s="10" t="s">
        <v>23</v>
      </c>
      <c r="H23" s="12">
        <v>394675</v>
      </c>
      <c r="I23" s="12">
        <v>174460</v>
      </c>
      <c r="J23" s="13">
        <f t="shared" si="5"/>
        <v>44.203458541838216</v>
      </c>
      <c r="K23" s="12">
        <v>348913</v>
      </c>
      <c r="L23" s="12">
        <f>H23-240890</f>
        <v>153785</v>
      </c>
      <c r="M23" s="12">
        <v>108023</v>
      </c>
      <c r="N23" s="12">
        <f t="shared" si="6"/>
        <v>78935</v>
      </c>
      <c r="O23" s="14">
        <v>0.38900000000000001</v>
      </c>
      <c r="P23" s="12">
        <f t="shared" si="7"/>
        <v>395334.19023136247</v>
      </c>
      <c r="Q23" s="15">
        <f t="shared" si="8"/>
        <v>9.0756242018219115</v>
      </c>
      <c r="R23" s="15">
        <f t="shared" si="9"/>
        <v>6.3749790496693972</v>
      </c>
      <c r="S23" s="10" t="s">
        <v>24</v>
      </c>
    </row>
    <row r="24" spans="1:19" x14ac:dyDescent="0.25">
      <c r="A24" s="10" t="s">
        <v>2313</v>
      </c>
      <c r="B24" s="10" t="s">
        <v>2314</v>
      </c>
      <c r="C24" s="10" t="s">
        <v>2298</v>
      </c>
      <c r="D24" s="11">
        <v>45608</v>
      </c>
      <c r="E24" s="12">
        <v>348601</v>
      </c>
      <c r="F24" s="10" t="s">
        <v>1233</v>
      </c>
      <c r="G24" s="10" t="s">
        <v>23</v>
      </c>
      <c r="H24" s="12">
        <v>348601</v>
      </c>
      <c r="I24" s="12">
        <v>186580</v>
      </c>
      <c r="J24" s="13">
        <f t="shared" si="5"/>
        <v>53.522508541283585</v>
      </c>
      <c r="K24" s="12">
        <v>373153</v>
      </c>
      <c r="L24" s="12">
        <f>H24-265130</f>
        <v>83471</v>
      </c>
      <c r="M24" s="12">
        <v>108023</v>
      </c>
      <c r="N24" s="12">
        <f t="shared" si="6"/>
        <v>69720.2</v>
      </c>
      <c r="O24" s="14">
        <v>0.38900000000000001</v>
      </c>
      <c r="P24" s="12">
        <f t="shared" si="7"/>
        <v>214578.4061696658</v>
      </c>
      <c r="Q24" s="15">
        <f t="shared" si="8"/>
        <v>4.9260423822237325</v>
      </c>
      <c r="R24" s="15">
        <f t="shared" si="9"/>
        <v>6.3749790496693972</v>
      </c>
      <c r="S24" s="10" t="s">
        <v>24</v>
      </c>
    </row>
    <row r="25" spans="1:19" x14ac:dyDescent="0.25">
      <c r="A25" s="10" t="s">
        <v>2313</v>
      </c>
      <c r="B25" s="10" t="s">
        <v>2314</v>
      </c>
      <c r="C25" s="10" t="s">
        <v>2298</v>
      </c>
      <c r="D25" s="11">
        <v>45708</v>
      </c>
      <c r="E25" s="12">
        <v>487500</v>
      </c>
      <c r="F25" s="10" t="s">
        <v>29</v>
      </c>
      <c r="G25" s="10" t="s">
        <v>23</v>
      </c>
      <c r="H25" s="12">
        <v>487500</v>
      </c>
      <c r="I25" s="12">
        <v>186580</v>
      </c>
      <c r="J25" s="13">
        <f t="shared" si="5"/>
        <v>38.272820512820509</v>
      </c>
      <c r="K25" s="12">
        <v>373153</v>
      </c>
      <c r="L25" s="12">
        <f>H25-265130</f>
        <v>222370</v>
      </c>
      <c r="M25" s="12">
        <v>108023</v>
      </c>
      <c r="N25" s="12">
        <f t="shared" si="6"/>
        <v>97500</v>
      </c>
      <c r="O25" s="14">
        <v>0.38900000000000001</v>
      </c>
      <c r="P25" s="12">
        <f t="shared" si="7"/>
        <v>571645.24421593826</v>
      </c>
      <c r="Q25" s="15">
        <f t="shared" si="8"/>
        <v>13.123169059135405</v>
      </c>
      <c r="R25" s="15">
        <f t="shared" si="9"/>
        <v>6.3749790496693972</v>
      </c>
      <c r="S25" s="10" t="s">
        <v>24</v>
      </c>
    </row>
    <row r="26" spans="1:19" x14ac:dyDescent="0.25">
      <c r="A26" s="10" t="s">
        <v>2315</v>
      </c>
      <c r="B26" s="10" t="s">
        <v>2316</v>
      </c>
      <c r="C26" s="10" t="s">
        <v>2298</v>
      </c>
      <c r="D26" s="11">
        <v>45572</v>
      </c>
      <c r="E26" s="12">
        <v>631800</v>
      </c>
      <c r="F26" s="10" t="s">
        <v>22</v>
      </c>
      <c r="G26" s="10" t="s">
        <v>23</v>
      </c>
      <c r="H26" s="12">
        <v>631800</v>
      </c>
      <c r="I26" s="12">
        <v>216530</v>
      </c>
      <c r="J26" s="13">
        <f t="shared" si="5"/>
        <v>34.271921494143712</v>
      </c>
      <c r="K26" s="12">
        <v>433059</v>
      </c>
      <c r="L26" s="12">
        <f>H26-305646</f>
        <v>326154</v>
      </c>
      <c r="M26" s="12">
        <v>127413</v>
      </c>
      <c r="N26" s="12">
        <f t="shared" si="6"/>
        <v>126360</v>
      </c>
      <c r="O26" s="14">
        <v>0.39</v>
      </c>
      <c r="P26" s="12">
        <f t="shared" si="7"/>
        <v>836292.30769230763</v>
      </c>
      <c r="Q26" s="15">
        <f t="shared" si="8"/>
        <v>19.198629653175107</v>
      </c>
      <c r="R26" s="15">
        <f t="shared" si="9"/>
        <v>7.5</v>
      </c>
      <c r="S26" s="10" t="s">
        <v>24</v>
      </c>
    </row>
    <row r="27" spans="1:19" x14ac:dyDescent="0.25">
      <c r="A27" s="10" t="s">
        <v>2317</v>
      </c>
      <c r="B27" s="10" t="s">
        <v>2318</v>
      </c>
      <c r="C27" s="10" t="s">
        <v>2298</v>
      </c>
      <c r="D27" s="11">
        <v>45106</v>
      </c>
      <c r="E27" s="12">
        <v>616000</v>
      </c>
      <c r="F27" s="10" t="s">
        <v>29</v>
      </c>
      <c r="G27" s="10" t="s">
        <v>23</v>
      </c>
      <c r="H27" s="12">
        <v>616000</v>
      </c>
      <c r="I27" s="12">
        <v>255820</v>
      </c>
      <c r="J27" s="13">
        <f t="shared" si="5"/>
        <v>41.529220779220779</v>
      </c>
      <c r="K27" s="12">
        <v>511630</v>
      </c>
      <c r="L27" s="12">
        <f>H27-381277</f>
        <v>234723</v>
      </c>
      <c r="M27" s="12">
        <v>130353</v>
      </c>
      <c r="N27" s="12">
        <f t="shared" si="6"/>
        <v>123200</v>
      </c>
      <c r="O27" s="14">
        <v>0.39900000000000002</v>
      </c>
      <c r="P27" s="12">
        <f t="shared" si="7"/>
        <v>588278.19548872183</v>
      </c>
      <c r="Q27" s="15">
        <f t="shared" si="8"/>
        <v>13.50500907917176</v>
      </c>
      <c r="R27" s="15">
        <f t="shared" si="9"/>
        <v>7.4999827392171889</v>
      </c>
      <c r="S27" s="10" t="s">
        <v>24</v>
      </c>
    </row>
    <row r="28" spans="1:19" x14ac:dyDescent="0.25">
      <c r="A28" s="10" t="s">
        <v>2319</v>
      </c>
      <c r="B28" s="10" t="s">
        <v>2320</v>
      </c>
      <c r="C28" s="10" t="s">
        <v>2298</v>
      </c>
      <c r="D28" s="11">
        <v>45257</v>
      </c>
      <c r="E28" s="12">
        <v>415000</v>
      </c>
      <c r="F28" s="10" t="s">
        <v>22</v>
      </c>
      <c r="G28" s="10" t="s">
        <v>23</v>
      </c>
      <c r="H28" s="12">
        <v>415000</v>
      </c>
      <c r="I28" s="12">
        <v>227620</v>
      </c>
      <c r="J28" s="13">
        <f t="shared" si="5"/>
        <v>54.848192771084335</v>
      </c>
      <c r="K28" s="12">
        <v>455241</v>
      </c>
      <c r="L28" s="12">
        <f>H28-291837</f>
        <v>123163</v>
      </c>
      <c r="M28" s="12">
        <v>163404</v>
      </c>
      <c r="N28" s="12">
        <f t="shared" si="6"/>
        <v>83000</v>
      </c>
      <c r="O28" s="14">
        <v>0.505</v>
      </c>
      <c r="P28" s="12">
        <f t="shared" si="7"/>
        <v>243887.12871287129</v>
      </c>
      <c r="Q28" s="15">
        <f t="shared" si="8"/>
        <v>5.5988780696251439</v>
      </c>
      <c r="R28" s="15">
        <f t="shared" si="9"/>
        <v>7.428197365191064</v>
      </c>
      <c r="S28" s="10" t="s">
        <v>24</v>
      </c>
    </row>
    <row r="29" spans="1:19" x14ac:dyDescent="0.25">
      <c r="A29" s="10" t="s">
        <v>2321</v>
      </c>
      <c r="B29" s="10" t="s">
        <v>2322</v>
      </c>
      <c r="C29" s="10" t="s">
        <v>2298</v>
      </c>
      <c r="D29" s="11">
        <v>45061</v>
      </c>
      <c r="E29" s="12">
        <v>875000</v>
      </c>
      <c r="F29" s="10" t="s">
        <v>22</v>
      </c>
      <c r="G29" s="10" t="s">
        <v>23</v>
      </c>
      <c r="H29" s="12">
        <v>875000</v>
      </c>
      <c r="I29" s="12">
        <v>522310</v>
      </c>
      <c r="J29" s="13">
        <f t="shared" si="5"/>
        <v>59.692571428571426</v>
      </c>
      <c r="K29" s="12">
        <v>1044612</v>
      </c>
      <c r="L29" s="12">
        <f>H29-904006</f>
        <v>-29006</v>
      </c>
      <c r="M29" s="12">
        <v>140606</v>
      </c>
      <c r="N29" s="12">
        <f t="shared" si="6"/>
        <v>175000</v>
      </c>
      <c r="O29" s="14">
        <v>0.69</v>
      </c>
      <c r="P29" s="12">
        <f t="shared" si="7"/>
        <v>-42037.681159420295</v>
      </c>
      <c r="Q29" s="15">
        <f t="shared" si="8"/>
        <v>-0.96505236821442364</v>
      </c>
      <c r="R29" s="15">
        <f t="shared" si="9"/>
        <v>4.6780718915106272</v>
      </c>
      <c r="S29" s="10" t="s">
        <v>24</v>
      </c>
    </row>
    <row r="30" spans="1:19" x14ac:dyDescent="0.25">
      <c r="A30" s="10" t="s">
        <v>2323</v>
      </c>
      <c r="B30" s="10" t="s">
        <v>2324</v>
      </c>
      <c r="C30" s="10" t="s">
        <v>2298</v>
      </c>
      <c r="D30" s="11">
        <v>45649</v>
      </c>
      <c r="E30" s="12">
        <v>467000</v>
      </c>
      <c r="F30" s="10" t="s">
        <v>22</v>
      </c>
      <c r="G30" s="10" t="s">
        <v>23</v>
      </c>
      <c r="H30" s="12">
        <v>467000</v>
      </c>
      <c r="I30" s="12">
        <v>212360</v>
      </c>
      <c r="J30" s="13">
        <f t="shared" si="5"/>
        <v>45.473233404710925</v>
      </c>
      <c r="K30" s="12">
        <v>424725</v>
      </c>
      <c r="L30" s="12">
        <f>H30-283748</f>
        <v>183252</v>
      </c>
      <c r="M30" s="12">
        <v>140977</v>
      </c>
      <c r="N30" s="12">
        <f t="shared" si="6"/>
        <v>93400</v>
      </c>
      <c r="O30" s="14">
        <v>0.73</v>
      </c>
      <c r="P30" s="12">
        <f t="shared" si="7"/>
        <v>251030.13698630137</v>
      </c>
      <c r="Q30" s="15">
        <f t="shared" si="8"/>
        <v>5.7628589758104081</v>
      </c>
      <c r="R30" s="15">
        <f t="shared" si="9"/>
        <v>4.4334062920613357</v>
      </c>
      <c r="S30" s="10" t="s">
        <v>24</v>
      </c>
    </row>
    <row r="31" spans="1:19" x14ac:dyDescent="0.25">
      <c r="A31" s="10" t="s">
        <v>2325</v>
      </c>
      <c r="B31" s="10" t="s">
        <v>2326</v>
      </c>
      <c r="C31" s="10" t="s">
        <v>2298</v>
      </c>
      <c r="D31" s="11">
        <v>45323</v>
      </c>
      <c r="E31" s="12">
        <v>979999</v>
      </c>
      <c r="F31" s="10" t="s">
        <v>22</v>
      </c>
      <c r="G31" s="10" t="s">
        <v>23</v>
      </c>
      <c r="H31" s="12">
        <v>979999</v>
      </c>
      <c r="I31" s="12">
        <v>399130</v>
      </c>
      <c r="J31" s="13">
        <f t="shared" si="5"/>
        <v>40.727592579176104</v>
      </c>
      <c r="K31" s="12">
        <v>798255</v>
      </c>
      <c r="L31" s="12">
        <f>H31-658834</f>
        <v>321165</v>
      </c>
      <c r="M31" s="12">
        <v>139421</v>
      </c>
      <c r="N31" s="12">
        <f t="shared" si="6"/>
        <v>195999.80000000002</v>
      </c>
      <c r="O31" s="14">
        <v>0.56200000000000006</v>
      </c>
      <c r="P31" s="12">
        <f t="shared" si="7"/>
        <v>571467.97153024911</v>
      </c>
      <c r="Q31" s="15">
        <f t="shared" si="8"/>
        <v>13.119099438251816</v>
      </c>
      <c r="R31" s="15">
        <f t="shared" si="9"/>
        <v>5.6951347836174744</v>
      </c>
      <c r="S31" s="10" t="s">
        <v>24</v>
      </c>
    </row>
    <row r="32" spans="1:19" x14ac:dyDescent="0.25">
      <c r="A32" s="10" t="s">
        <v>2327</v>
      </c>
      <c r="B32" s="10" t="s">
        <v>2328</v>
      </c>
      <c r="C32" s="10" t="s">
        <v>2298</v>
      </c>
      <c r="D32" s="11">
        <v>45107</v>
      </c>
      <c r="E32" s="12">
        <v>475000</v>
      </c>
      <c r="F32" s="10" t="s">
        <v>22</v>
      </c>
      <c r="G32" s="10" t="s">
        <v>23</v>
      </c>
      <c r="H32" s="12">
        <v>475000</v>
      </c>
      <c r="I32" s="12">
        <v>208410</v>
      </c>
      <c r="J32" s="13">
        <f t="shared" si="5"/>
        <v>43.875789473684215</v>
      </c>
      <c r="K32" s="12">
        <v>416821</v>
      </c>
      <c r="L32" s="12">
        <f>H32-295942</f>
        <v>179058</v>
      </c>
      <c r="M32" s="12">
        <v>120879</v>
      </c>
      <c r="N32" s="12">
        <f t="shared" si="6"/>
        <v>95000</v>
      </c>
      <c r="O32" s="14">
        <v>0.37</v>
      </c>
      <c r="P32" s="12">
        <f t="shared" si="7"/>
        <v>483940.54054054053</v>
      </c>
      <c r="Q32" s="15">
        <f t="shared" si="8"/>
        <v>11.10974610974611</v>
      </c>
      <c r="R32" s="15">
        <f t="shared" si="9"/>
        <v>7.5</v>
      </c>
      <c r="S32" s="10" t="s">
        <v>24</v>
      </c>
    </row>
    <row r="33" spans="1:19" x14ac:dyDescent="0.25">
      <c r="A33" s="10" t="s">
        <v>2329</v>
      </c>
      <c r="B33" s="10" t="s">
        <v>2330</v>
      </c>
      <c r="C33" s="10" t="s">
        <v>2298</v>
      </c>
      <c r="D33" s="11">
        <v>45104</v>
      </c>
      <c r="E33" s="12">
        <v>572400</v>
      </c>
      <c r="F33" s="10" t="s">
        <v>29</v>
      </c>
      <c r="G33" s="10" t="s">
        <v>23</v>
      </c>
      <c r="H33" s="12">
        <v>572400</v>
      </c>
      <c r="I33" s="12">
        <v>267630</v>
      </c>
      <c r="J33" s="13">
        <f t="shared" si="5"/>
        <v>46.755765199161424</v>
      </c>
      <c r="K33" s="12">
        <v>535254</v>
      </c>
      <c r="L33" s="12">
        <f>H33-371839</f>
        <v>200561</v>
      </c>
      <c r="M33" s="12">
        <v>163415</v>
      </c>
      <c r="N33" s="12">
        <f t="shared" si="6"/>
        <v>114480</v>
      </c>
      <c r="O33" s="14">
        <v>0.50600000000000001</v>
      </c>
      <c r="P33" s="12">
        <f t="shared" si="7"/>
        <v>396365.61264822131</v>
      </c>
      <c r="Q33" s="15">
        <f t="shared" si="8"/>
        <v>9.0993024023925919</v>
      </c>
      <c r="R33" s="15">
        <f t="shared" si="9"/>
        <v>7.4140161950079309</v>
      </c>
      <c r="S33" s="10" t="s">
        <v>24</v>
      </c>
    </row>
    <row r="34" spans="1:19" x14ac:dyDescent="0.25">
      <c r="A34" s="10" t="s">
        <v>2331</v>
      </c>
      <c r="B34" s="10" t="s">
        <v>2332</v>
      </c>
      <c r="C34" s="10" t="s">
        <v>2298</v>
      </c>
      <c r="D34" s="11">
        <v>45601</v>
      </c>
      <c r="E34" s="12">
        <v>530000</v>
      </c>
      <c r="F34" s="10" t="s">
        <v>29</v>
      </c>
      <c r="G34" s="10" t="s">
        <v>23</v>
      </c>
      <c r="H34" s="12">
        <v>530000</v>
      </c>
      <c r="I34" s="12">
        <v>241320</v>
      </c>
      <c r="J34" s="13">
        <f t="shared" si="5"/>
        <v>45.532075471698114</v>
      </c>
      <c r="K34" s="12">
        <v>482649</v>
      </c>
      <c r="L34" s="12">
        <f>H34-319157</f>
        <v>210843</v>
      </c>
      <c r="M34" s="12">
        <v>163492</v>
      </c>
      <c r="N34" s="12">
        <f t="shared" si="6"/>
        <v>106000</v>
      </c>
      <c r="O34" s="14">
        <v>0.51300000000000001</v>
      </c>
      <c r="P34" s="12">
        <f t="shared" si="7"/>
        <v>411000</v>
      </c>
      <c r="Q34" s="15">
        <f t="shared" si="8"/>
        <v>9.43526170798898</v>
      </c>
      <c r="R34" s="15">
        <f t="shared" si="9"/>
        <v>7.3162960456953012</v>
      </c>
      <c r="S34" s="10" t="s">
        <v>24</v>
      </c>
    </row>
    <row r="35" spans="1:19" ht="15.75" thickBot="1" x14ac:dyDescent="0.3">
      <c r="A35" s="16"/>
      <c r="B35" s="16"/>
      <c r="C35" s="16"/>
      <c r="D35" s="17"/>
      <c r="E35" s="18"/>
      <c r="F35" s="16"/>
      <c r="G35" s="16"/>
      <c r="H35" s="18"/>
      <c r="I35" s="18"/>
      <c r="J35" s="19"/>
      <c r="K35" s="18"/>
      <c r="L35" s="18">
        <f>AVERAGE(L15:L34)</f>
        <v>184747.55</v>
      </c>
      <c r="M35" s="18">
        <f>AVERAGE(M15:M34)</f>
        <v>128219.2</v>
      </c>
      <c r="N35" s="18">
        <f>AVERAGE(N15:N34)</f>
        <v>110794.75</v>
      </c>
      <c r="O35" s="20"/>
      <c r="P35" s="18"/>
      <c r="Q35" s="21">
        <f>AVERAGE(Q15:Q34)</f>
        <v>10.252535691875648</v>
      </c>
      <c r="R35" s="21">
        <f>AVERAGE(R15:R34)</f>
        <v>6.8732553237586398</v>
      </c>
      <c r="S35" s="16"/>
    </row>
    <row r="36" spans="1:19" ht="15.75" thickTop="1" x14ac:dyDescent="0.25">
      <c r="A36" s="10"/>
      <c r="B36" s="10"/>
      <c r="C36" s="10"/>
      <c r="D36" s="11"/>
      <c r="E36" s="12"/>
      <c r="F36" s="10"/>
      <c r="G36" s="10"/>
      <c r="H36" s="12"/>
      <c r="I36" s="12"/>
      <c r="J36" s="13"/>
      <c r="K36" s="12"/>
      <c r="L36" s="12"/>
      <c r="M36" s="12"/>
      <c r="N36" s="12"/>
      <c r="O36" s="14"/>
      <c r="P36" s="12"/>
      <c r="Q36" s="15"/>
      <c r="R36" s="15"/>
      <c r="S36" s="10"/>
    </row>
    <row r="37" spans="1:19" x14ac:dyDescent="0.25">
      <c r="A37" s="10"/>
      <c r="B37" s="10"/>
      <c r="C37" s="10"/>
      <c r="D37" s="11"/>
      <c r="E37" s="12"/>
      <c r="F37" s="10"/>
      <c r="G37" s="10"/>
      <c r="H37" s="12"/>
      <c r="I37" s="12"/>
      <c r="J37" s="13"/>
      <c r="K37" s="12"/>
      <c r="L37" s="12"/>
      <c r="M37" s="12"/>
      <c r="N37" s="12"/>
      <c r="O37" s="14"/>
      <c r="P37" s="12"/>
      <c r="Q37" s="15"/>
      <c r="R37" s="15"/>
      <c r="S37" s="10"/>
    </row>
    <row r="38" spans="1:19" x14ac:dyDescent="0.25">
      <c r="A38" s="10" t="s">
        <v>2333</v>
      </c>
      <c r="B38" s="10" t="s">
        <v>2334</v>
      </c>
      <c r="C38" s="10" t="s">
        <v>2335</v>
      </c>
      <c r="D38" s="11">
        <v>45428</v>
      </c>
      <c r="E38" s="12">
        <v>645000</v>
      </c>
      <c r="F38" s="10" t="s">
        <v>22</v>
      </c>
      <c r="G38" s="10" t="s">
        <v>23</v>
      </c>
      <c r="H38" s="12">
        <v>645000</v>
      </c>
      <c r="I38" s="12">
        <v>270350</v>
      </c>
      <c r="J38" s="13">
        <f>I38/H38*100</f>
        <v>41.914728682170541</v>
      </c>
      <c r="K38" s="12">
        <v>540702</v>
      </c>
      <c r="L38" s="12">
        <f>H38-389816</f>
        <v>255184</v>
      </c>
      <c r="M38" s="12">
        <v>150886</v>
      </c>
      <c r="N38" s="12">
        <f>E38*0.2</f>
        <v>129000</v>
      </c>
      <c r="O38" s="14">
        <v>0.30299999999999999</v>
      </c>
      <c r="P38" s="12">
        <f>L38/O38</f>
        <v>842191.41914191423</v>
      </c>
      <c r="Q38" s="15">
        <f>L38/O38/43560</f>
        <v>19.334054617582972</v>
      </c>
      <c r="R38" s="15">
        <f>M38/O38/43560</f>
        <v>11.431900765834159</v>
      </c>
      <c r="S38" s="10" t="s">
        <v>24</v>
      </c>
    </row>
    <row r="39" spans="1:19" x14ac:dyDescent="0.25">
      <c r="A39" s="10" t="s">
        <v>2336</v>
      </c>
      <c r="B39" s="10" t="s">
        <v>2337</v>
      </c>
      <c r="C39" s="10" t="s">
        <v>2335</v>
      </c>
      <c r="D39" s="11">
        <v>45464</v>
      </c>
      <c r="E39" s="12">
        <v>795000</v>
      </c>
      <c r="F39" s="10" t="s">
        <v>22</v>
      </c>
      <c r="G39" s="10" t="s">
        <v>23</v>
      </c>
      <c r="H39" s="12">
        <v>795000</v>
      </c>
      <c r="I39" s="12">
        <v>315110</v>
      </c>
      <c r="J39" s="13">
        <f>I39/H39*100</f>
        <v>39.63647798742138</v>
      </c>
      <c r="K39" s="12">
        <v>630226</v>
      </c>
      <c r="L39" s="12">
        <f>H39-443476</f>
        <v>351524</v>
      </c>
      <c r="M39" s="12">
        <v>186750</v>
      </c>
      <c r="N39" s="12">
        <f>E39*0.2</f>
        <v>159000</v>
      </c>
      <c r="O39" s="14">
        <v>0.53700000000000003</v>
      </c>
      <c r="P39" s="12">
        <f>L39/O39</f>
        <v>654607.07635009312</v>
      </c>
      <c r="Q39" s="15">
        <f>L39/O39/43560</f>
        <v>15.027710660011321</v>
      </c>
      <c r="R39" s="15">
        <f>M39/O39/43560</f>
        <v>7.9835941948689539</v>
      </c>
      <c r="S39" s="10" t="s">
        <v>24</v>
      </c>
    </row>
    <row r="40" spans="1:19" ht="15.75" thickBot="1" x14ac:dyDescent="0.3">
      <c r="A40" s="16"/>
      <c r="B40" s="16"/>
      <c r="C40" s="16"/>
      <c r="D40" s="17"/>
      <c r="E40" s="18"/>
      <c r="F40" s="16"/>
      <c r="G40" s="16"/>
      <c r="H40" s="18"/>
      <c r="I40" s="18"/>
      <c r="J40" s="19"/>
      <c r="K40" s="18"/>
      <c r="L40" s="18">
        <f>AVERAGE(L38:L39)</f>
        <v>303354</v>
      </c>
      <c r="M40" s="18">
        <f>AVERAGE(M38:M39)</f>
        <v>168818</v>
      </c>
      <c r="N40" s="18">
        <f>AVERAGE(N38:N39)</f>
        <v>144000</v>
      </c>
      <c r="O40" s="20"/>
      <c r="P40" s="18"/>
      <c r="Q40" s="21">
        <f>AVERAGE(Q38:Q39)</f>
        <v>17.180882638797147</v>
      </c>
      <c r="R40" s="21">
        <f>AVERAGE(R38:R39)</f>
        <v>9.7077474803515571</v>
      </c>
      <c r="S40" s="16"/>
    </row>
    <row r="41" spans="1:19" ht="15.75" thickTop="1" x14ac:dyDescent="0.25">
      <c r="A41" s="10"/>
      <c r="B41" s="10"/>
      <c r="C41" s="10"/>
      <c r="D41" s="11"/>
      <c r="E41" s="12"/>
      <c r="F41" s="10"/>
      <c r="G41" s="10"/>
      <c r="H41" s="12"/>
      <c r="I41" s="12"/>
      <c r="J41" s="13"/>
      <c r="K41" s="12"/>
      <c r="L41" s="12"/>
      <c r="M41" s="12"/>
      <c r="N41" s="12"/>
      <c r="O41" s="14"/>
      <c r="P41" s="12"/>
      <c r="Q41" s="15"/>
      <c r="R41" s="15"/>
      <c r="S41" s="10"/>
    </row>
    <row r="42" spans="1:19" x14ac:dyDescent="0.25">
      <c r="A42" s="10"/>
      <c r="B42" s="10"/>
      <c r="C42" s="10"/>
      <c r="D42" s="11"/>
      <c r="E42" s="12"/>
      <c r="F42" s="10"/>
      <c r="G42" s="10"/>
      <c r="H42" s="12"/>
      <c r="I42" s="12"/>
      <c r="J42" s="13"/>
      <c r="K42" s="12"/>
      <c r="L42" s="12"/>
      <c r="M42" s="12"/>
      <c r="N42" s="12"/>
      <c r="O42" s="14"/>
      <c r="P42" s="12"/>
      <c r="Q42" s="15"/>
      <c r="R42" s="15"/>
      <c r="S42" s="10"/>
    </row>
    <row r="43" spans="1:19" x14ac:dyDescent="0.25">
      <c r="A43" s="10"/>
      <c r="B43" s="10"/>
      <c r="C43" s="10"/>
      <c r="D43" s="11"/>
      <c r="E43" s="12"/>
      <c r="F43" s="10"/>
      <c r="G43" s="10"/>
      <c r="H43" s="12"/>
      <c r="I43" s="12"/>
      <c r="J43" s="13"/>
      <c r="K43" s="12"/>
      <c r="L43" s="12"/>
      <c r="M43" s="12"/>
      <c r="N43" s="12"/>
      <c r="O43" s="14"/>
      <c r="P43" s="12"/>
      <c r="Q43" s="15"/>
      <c r="R43" s="15"/>
      <c r="S43" s="10"/>
    </row>
    <row r="44" spans="1:19" x14ac:dyDescent="0.25">
      <c r="A44" s="10" t="s">
        <v>2338</v>
      </c>
      <c r="B44" s="10" t="s">
        <v>2339</v>
      </c>
      <c r="C44" s="10" t="s">
        <v>2340</v>
      </c>
      <c r="D44" s="11">
        <v>45259</v>
      </c>
      <c r="E44" s="12">
        <v>680000</v>
      </c>
      <c r="F44" s="10" t="s">
        <v>29</v>
      </c>
      <c r="G44" s="10" t="s">
        <v>23</v>
      </c>
      <c r="H44" s="12">
        <v>680000</v>
      </c>
      <c r="I44" s="12">
        <v>433890</v>
      </c>
      <c r="J44" s="13">
        <f>I44/H44*100</f>
        <v>63.807352941176468</v>
      </c>
      <c r="K44" s="12">
        <v>867787</v>
      </c>
      <c r="L44" s="12">
        <f>H44-694564</f>
        <v>-14564</v>
      </c>
      <c r="M44" s="12">
        <v>173223</v>
      </c>
      <c r="N44" s="12">
        <f>E44*0.2</f>
        <v>136000</v>
      </c>
      <c r="O44" s="14">
        <v>0.442</v>
      </c>
      <c r="P44" s="12">
        <f>L44/O44</f>
        <v>-32950.226244343889</v>
      </c>
      <c r="Q44" s="15">
        <f>L44/O44/43560</f>
        <v>-0.75643310937428576</v>
      </c>
      <c r="R44" s="15">
        <f>M44/O44/43560</f>
        <v>8.996952245615347</v>
      </c>
      <c r="S44" s="10" t="s">
        <v>24</v>
      </c>
    </row>
    <row r="45" spans="1:19" x14ac:dyDescent="0.25">
      <c r="A45" s="10" t="s">
        <v>2341</v>
      </c>
      <c r="B45" s="10" t="s">
        <v>2342</v>
      </c>
      <c r="C45" s="10" t="s">
        <v>2340</v>
      </c>
      <c r="D45" s="11">
        <v>45525</v>
      </c>
      <c r="E45" s="12">
        <v>725000</v>
      </c>
      <c r="F45" s="10" t="s">
        <v>29</v>
      </c>
      <c r="G45" s="10" t="s">
        <v>23</v>
      </c>
      <c r="H45" s="12">
        <v>725000</v>
      </c>
      <c r="I45" s="12">
        <v>474250</v>
      </c>
      <c r="J45" s="13">
        <f>I45/H45*100</f>
        <v>65.413793103448285</v>
      </c>
      <c r="K45" s="12">
        <v>948500</v>
      </c>
      <c r="L45" s="12">
        <f>H45-748120</f>
        <v>-23120</v>
      </c>
      <c r="M45" s="12">
        <v>200380</v>
      </c>
      <c r="N45" s="12">
        <f>E45*0.2</f>
        <v>145000</v>
      </c>
      <c r="O45" s="14">
        <v>0.57699999999999996</v>
      </c>
      <c r="P45" s="12">
        <f>L45/O45</f>
        <v>-40069.324090121321</v>
      </c>
      <c r="Q45" s="15">
        <f>L45/O45/43560</f>
        <v>-0.91986510767037011</v>
      </c>
      <c r="R45" s="15">
        <f>M45/O45/43560</f>
        <v>7.9724295101638729</v>
      </c>
      <c r="S45" s="10" t="s">
        <v>24</v>
      </c>
    </row>
    <row r="46" spans="1:19" x14ac:dyDescent="0.25">
      <c r="A46" s="10" t="s">
        <v>2343</v>
      </c>
      <c r="B46" s="10" t="s">
        <v>2344</v>
      </c>
      <c r="C46" s="10" t="s">
        <v>2340</v>
      </c>
      <c r="D46" s="11">
        <v>45497</v>
      </c>
      <c r="E46" s="12">
        <v>710000</v>
      </c>
      <c r="F46" s="10" t="s">
        <v>22</v>
      </c>
      <c r="G46" s="10" t="s">
        <v>23</v>
      </c>
      <c r="H46" s="12">
        <v>710000</v>
      </c>
      <c r="I46" s="12">
        <v>401580</v>
      </c>
      <c r="J46" s="13">
        <f>I46/H46*100</f>
        <v>56.560563380281693</v>
      </c>
      <c r="K46" s="12">
        <v>803164</v>
      </c>
      <c r="L46" s="12">
        <f>H46-623218</f>
        <v>86782</v>
      </c>
      <c r="M46" s="12">
        <v>179946</v>
      </c>
      <c r="N46" s="12">
        <f>E46*0.2</f>
        <v>142000</v>
      </c>
      <c r="O46" s="14">
        <v>0.45900000000000002</v>
      </c>
      <c r="P46" s="12">
        <f>L46/O46</f>
        <v>189067.53812636164</v>
      </c>
      <c r="Q46" s="15">
        <f>L46/O46/43560</f>
        <v>4.3403934372442983</v>
      </c>
      <c r="R46" s="15">
        <f>M46/O46/43560</f>
        <v>8.9999819946344015</v>
      </c>
      <c r="S46" s="10" t="s">
        <v>24</v>
      </c>
    </row>
    <row r="47" spans="1:19" ht="15.75" thickBot="1" x14ac:dyDescent="0.3">
      <c r="A47" s="16"/>
      <c r="B47" s="16"/>
      <c r="C47" s="16"/>
      <c r="D47" s="17"/>
      <c r="E47" s="18"/>
      <c r="F47" s="16"/>
      <c r="G47" s="16"/>
      <c r="H47" s="18"/>
      <c r="I47" s="18"/>
      <c r="J47" s="19"/>
      <c r="K47" s="18"/>
      <c r="L47" s="18">
        <f>AVERAGE(L44:L46)</f>
        <v>16366</v>
      </c>
      <c r="M47" s="18">
        <f>AVERAGE(M44:M46)</f>
        <v>184516.33333333334</v>
      </c>
      <c r="N47" s="18">
        <f>AVERAGE(N44:N46)</f>
        <v>141000</v>
      </c>
      <c r="O47" s="20"/>
      <c r="P47" s="18"/>
      <c r="Q47" s="21">
        <f>AVERAGE(Q44:Q46)</f>
        <v>0.88803174006654739</v>
      </c>
      <c r="R47" s="21">
        <f>AVERAGE(R44:R46)</f>
        <v>8.6564545834712074</v>
      </c>
      <c r="S47" s="16"/>
    </row>
    <row r="48" spans="1:19" ht="15.75" thickTop="1" x14ac:dyDescent="0.25">
      <c r="A48" s="10"/>
      <c r="B48" s="10"/>
      <c r="C48" s="10"/>
      <c r="D48" s="11"/>
      <c r="E48" s="12"/>
      <c r="F48" s="10"/>
      <c r="G48" s="10"/>
      <c r="H48" s="12"/>
      <c r="I48" s="12"/>
      <c r="J48" s="13"/>
      <c r="K48" s="12"/>
      <c r="L48" s="12"/>
      <c r="M48" s="12"/>
      <c r="N48" s="12"/>
      <c r="O48" s="14"/>
      <c r="P48" s="12"/>
      <c r="Q48" s="15"/>
      <c r="R48" s="15"/>
      <c r="S48" s="10"/>
    </row>
    <row r="49" spans="1:19" x14ac:dyDescent="0.25">
      <c r="A49" s="10"/>
      <c r="B49" s="10"/>
      <c r="C49" s="10"/>
      <c r="D49" s="11"/>
      <c r="E49" s="12"/>
      <c r="F49" s="10"/>
      <c r="G49" s="10"/>
      <c r="H49" s="12"/>
      <c r="I49" s="12"/>
      <c r="J49" s="13"/>
      <c r="K49" s="12"/>
      <c r="L49" s="12"/>
      <c r="M49" s="12"/>
      <c r="N49" s="12"/>
      <c r="O49" s="14"/>
      <c r="P49" s="12"/>
      <c r="Q49" s="15"/>
      <c r="R49" s="15"/>
      <c r="S49" s="10"/>
    </row>
    <row r="50" spans="1:19" x14ac:dyDescent="0.25">
      <c r="A50" s="10" t="s">
        <v>2345</v>
      </c>
      <c r="B50" s="10" t="s">
        <v>2346</v>
      </c>
      <c r="C50" s="10" t="s">
        <v>2347</v>
      </c>
      <c r="D50" s="11">
        <v>45741</v>
      </c>
      <c r="E50" s="12">
        <v>952000</v>
      </c>
      <c r="F50" s="10" t="s">
        <v>29</v>
      </c>
      <c r="G50" s="10" t="s">
        <v>23</v>
      </c>
      <c r="H50" s="12">
        <v>952000</v>
      </c>
      <c r="I50" s="12">
        <v>353770</v>
      </c>
      <c r="J50" s="13">
        <f>I50/H50*100</f>
        <v>37.160714285714285</v>
      </c>
      <c r="K50" s="12">
        <v>707532</v>
      </c>
      <c r="L50" s="12">
        <f>H50-592272</f>
        <v>359728</v>
      </c>
      <c r="M50" s="12">
        <v>115260</v>
      </c>
      <c r="N50" s="12">
        <f>E50*0.2</f>
        <v>190400</v>
      </c>
      <c r="O50" s="14">
        <v>0.378</v>
      </c>
      <c r="P50" s="12">
        <f>L50/O50</f>
        <v>951661.3756613757</v>
      </c>
      <c r="Q50" s="15">
        <f>L50/O50/43560</f>
        <v>21.84713901885619</v>
      </c>
      <c r="R50" s="15">
        <f>M50/O50/43560</f>
        <v>7.000014575772151</v>
      </c>
      <c r="S50" s="10" t="s">
        <v>24</v>
      </c>
    </row>
    <row r="51" spans="1:19" x14ac:dyDescent="0.25">
      <c r="A51" s="10" t="s">
        <v>2348</v>
      </c>
      <c r="B51" s="10" t="s">
        <v>2349</v>
      </c>
      <c r="C51" s="10" t="s">
        <v>2347</v>
      </c>
      <c r="D51" s="11">
        <v>45490</v>
      </c>
      <c r="E51" s="12">
        <v>850000</v>
      </c>
      <c r="F51" s="10" t="s">
        <v>22</v>
      </c>
      <c r="G51" s="10" t="s">
        <v>23</v>
      </c>
      <c r="H51" s="12">
        <v>850000</v>
      </c>
      <c r="I51" s="12">
        <v>371690</v>
      </c>
      <c r="J51" s="13">
        <f>I51/H51*100</f>
        <v>43.728235294117646</v>
      </c>
      <c r="K51" s="12">
        <v>743389</v>
      </c>
      <c r="L51" s="12">
        <f>H51-633923</f>
        <v>216077</v>
      </c>
      <c r="M51" s="12">
        <v>109466</v>
      </c>
      <c r="N51" s="12">
        <f>E51*0.2</f>
        <v>170000</v>
      </c>
      <c r="O51" s="14">
        <v>0.35899999999999999</v>
      </c>
      <c r="P51" s="12">
        <f>L51/O51</f>
        <v>601885.79387186631</v>
      </c>
      <c r="Q51" s="15">
        <f>L51/O51/43560</f>
        <v>13.817396553532284</v>
      </c>
      <c r="R51" s="15">
        <f>M51/O51/43560</f>
        <v>6.999982094942844</v>
      </c>
      <c r="S51" s="10" t="s">
        <v>24</v>
      </c>
    </row>
    <row r="52" spans="1:19" x14ac:dyDescent="0.25">
      <c r="A52" s="10" t="s">
        <v>2350</v>
      </c>
      <c r="B52" s="10" t="s">
        <v>2351</v>
      </c>
      <c r="C52" s="10" t="s">
        <v>2347</v>
      </c>
      <c r="D52" s="11">
        <v>45413</v>
      </c>
      <c r="E52" s="12">
        <v>892000</v>
      </c>
      <c r="F52" s="10" t="s">
        <v>22</v>
      </c>
      <c r="G52" s="10" t="s">
        <v>23</v>
      </c>
      <c r="H52" s="12">
        <v>892000</v>
      </c>
      <c r="I52" s="12">
        <v>333620</v>
      </c>
      <c r="J52" s="13">
        <f>I52/H52*100</f>
        <v>37.401345291479821</v>
      </c>
      <c r="K52" s="12">
        <v>667233</v>
      </c>
      <c r="L52" s="12">
        <f>H52-557157</f>
        <v>334843</v>
      </c>
      <c r="M52" s="12">
        <v>110076</v>
      </c>
      <c r="N52" s="12">
        <f>E52*0.2</f>
        <v>178400</v>
      </c>
      <c r="O52" s="14">
        <v>0.36099999999999999</v>
      </c>
      <c r="P52" s="12">
        <f>L52/O52</f>
        <v>927542.93628808868</v>
      </c>
      <c r="Q52" s="15">
        <f>L52/O52/43560</f>
        <v>21.293455837651255</v>
      </c>
      <c r="R52" s="15">
        <f>M52/O52/43560</f>
        <v>6.9999923689170735</v>
      </c>
      <c r="S52" s="10" t="s">
        <v>24</v>
      </c>
    </row>
    <row r="53" spans="1:19" ht="15.75" thickBot="1" x14ac:dyDescent="0.3">
      <c r="A53" s="16"/>
      <c r="B53" s="16"/>
      <c r="C53" s="16"/>
      <c r="D53" s="17"/>
      <c r="E53" s="18"/>
      <c r="F53" s="16"/>
      <c r="G53" s="16"/>
      <c r="H53" s="18"/>
      <c r="I53" s="18"/>
      <c r="J53" s="19"/>
      <c r="K53" s="18"/>
      <c r="L53" s="18">
        <f>AVERAGE(L50:L52)</f>
        <v>303549.33333333331</v>
      </c>
      <c r="M53" s="18">
        <f>AVERAGE(M50:M52)</f>
        <v>111600.66666666667</v>
      </c>
      <c r="N53" s="18">
        <f>AVERAGE(N50:N52)</f>
        <v>179600</v>
      </c>
      <c r="O53" s="20"/>
      <c r="P53" s="18"/>
      <c r="Q53" s="21">
        <f>AVERAGE(Q50:Q52)</f>
        <v>18.985997136679909</v>
      </c>
      <c r="R53" s="21">
        <f>AVERAGE(R50:R52)</f>
        <v>6.9999963465440231</v>
      </c>
      <c r="S53" s="16"/>
    </row>
    <row r="54" spans="1:19" ht="15.75" thickTop="1" x14ac:dyDescent="0.25">
      <c r="A54" s="10"/>
      <c r="B54" s="10"/>
      <c r="C54" s="10"/>
      <c r="D54" s="11"/>
      <c r="E54" s="12"/>
      <c r="F54" s="10"/>
      <c r="G54" s="10"/>
      <c r="H54" s="12"/>
      <c r="I54" s="12"/>
      <c r="J54" s="13"/>
      <c r="K54" s="12"/>
      <c r="L54" s="12"/>
      <c r="M54" s="12"/>
      <c r="N54" s="12"/>
      <c r="O54" s="14"/>
      <c r="P54" s="12"/>
      <c r="Q54" s="15"/>
      <c r="R54" s="15"/>
      <c r="S54" s="10"/>
    </row>
    <row r="55" spans="1:19" x14ac:dyDescent="0.25">
      <c r="A55" s="10"/>
      <c r="B55" s="10"/>
      <c r="C55" s="10"/>
      <c r="D55" s="11"/>
      <c r="E55" s="12"/>
      <c r="F55" s="10"/>
      <c r="G55" s="10"/>
      <c r="H55" s="12"/>
      <c r="I55" s="12"/>
      <c r="J55" s="13"/>
      <c r="K55" s="12"/>
      <c r="L55" s="12"/>
      <c r="M55" s="12"/>
      <c r="N55" s="12"/>
      <c r="O55" s="14"/>
      <c r="P55" s="12"/>
      <c r="Q55" s="15"/>
      <c r="R55" s="15"/>
      <c r="S55" s="10"/>
    </row>
    <row r="56" spans="1:19" x14ac:dyDescent="0.25">
      <c r="A56" s="10" t="s">
        <v>2352</v>
      </c>
      <c r="B56" s="10" t="s">
        <v>2353</v>
      </c>
      <c r="C56" s="10" t="s">
        <v>2354</v>
      </c>
      <c r="D56" s="11">
        <v>45553</v>
      </c>
      <c r="E56" s="12">
        <v>595000</v>
      </c>
      <c r="F56" s="10" t="s">
        <v>29</v>
      </c>
      <c r="G56" s="10" t="s">
        <v>23</v>
      </c>
      <c r="H56" s="12">
        <v>595000</v>
      </c>
      <c r="I56" s="12">
        <v>318280</v>
      </c>
      <c r="J56" s="13">
        <f t="shared" ref="J56:J72" si="10">I56/H56*100</f>
        <v>53.492436974789911</v>
      </c>
      <c r="K56" s="12">
        <v>636568</v>
      </c>
      <c r="L56" s="12">
        <f>H56-492472</f>
        <v>102528</v>
      </c>
      <c r="M56" s="12">
        <v>144096</v>
      </c>
      <c r="N56" s="12">
        <f t="shared" ref="N56:N72" si="11">E56*0.2</f>
        <v>119000</v>
      </c>
      <c r="O56" s="14">
        <v>0.82699999999999996</v>
      </c>
      <c r="P56" s="12">
        <f t="shared" ref="P56:P72" si="12">L56/O56</f>
        <v>123975.8162031439</v>
      </c>
      <c r="Q56" s="15">
        <f t="shared" ref="Q56:Q72" si="13">L56/O56/43560</f>
        <v>2.8460931176112005</v>
      </c>
      <c r="R56" s="15">
        <f t="shared" ref="R56:R72" si="14">M56/O56/43560</f>
        <v>3.9999866755940188</v>
      </c>
      <c r="S56" s="10" t="s">
        <v>24</v>
      </c>
    </row>
    <row r="57" spans="1:19" x14ac:dyDescent="0.25">
      <c r="A57" s="10" t="s">
        <v>2355</v>
      </c>
      <c r="B57" s="10" t="s">
        <v>2356</v>
      </c>
      <c r="C57" s="10" t="s">
        <v>2354</v>
      </c>
      <c r="D57" s="11">
        <v>45380</v>
      </c>
      <c r="E57" s="12">
        <v>2525000</v>
      </c>
      <c r="F57" s="10" t="s">
        <v>29</v>
      </c>
      <c r="G57" s="10" t="s">
        <v>23</v>
      </c>
      <c r="H57" s="12">
        <v>2525000</v>
      </c>
      <c r="I57" s="12">
        <v>1086650</v>
      </c>
      <c r="J57" s="13">
        <f t="shared" si="10"/>
        <v>43.035643564356434</v>
      </c>
      <c r="K57" s="12">
        <v>2173292</v>
      </c>
      <c r="L57" s="12">
        <f>H57-2038256</f>
        <v>486744</v>
      </c>
      <c r="M57" s="12">
        <v>135036</v>
      </c>
      <c r="N57" s="12">
        <f t="shared" si="11"/>
        <v>505000</v>
      </c>
      <c r="O57" s="14">
        <v>0.77500000000000002</v>
      </c>
      <c r="P57" s="12">
        <f t="shared" si="12"/>
        <v>628056.77419354836</v>
      </c>
      <c r="Q57" s="15">
        <f t="shared" si="13"/>
        <v>14.418199591220118</v>
      </c>
      <c r="R57" s="15">
        <f t="shared" si="14"/>
        <v>4</v>
      </c>
      <c r="S57" s="10" t="s">
        <v>24</v>
      </c>
    </row>
    <row r="58" spans="1:19" x14ac:dyDescent="0.25">
      <c r="A58" s="10" t="s">
        <v>2357</v>
      </c>
      <c r="B58" s="10" t="s">
        <v>2358</v>
      </c>
      <c r="C58" s="10" t="s">
        <v>2354</v>
      </c>
      <c r="D58" s="11">
        <v>45484</v>
      </c>
      <c r="E58" s="12">
        <v>413000</v>
      </c>
      <c r="F58" s="10" t="s">
        <v>22</v>
      </c>
      <c r="G58" s="10" t="s">
        <v>23</v>
      </c>
      <c r="H58" s="12">
        <v>413000</v>
      </c>
      <c r="I58" s="12">
        <v>156460</v>
      </c>
      <c r="J58" s="13">
        <f t="shared" si="10"/>
        <v>37.883777239709445</v>
      </c>
      <c r="K58" s="12">
        <v>312911</v>
      </c>
      <c r="L58" s="12">
        <f>H58-181691</f>
        <v>231309</v>
      </c>
      <c r="M58" s="12">
        <v>131220</v>
      </c>
      <c r="N58" s="12">
        <f t="shared" si="11"/>
        <v>82600</v>
      </c>
      <c r="O58" s="14">
        <v>0.88600000000000001</v>
      </c>
      <c r="P58" s="12">
        <f t="shared" si="12"/>
        <v>261071.10609480811</v>
      </c>
      <c r="Q58" s="15">
        <f t="shared" si="13"/>
        <v>5.9933679085125826</v>
      </c>
      <c r="R58" s="15">
        <f t="shared" si="14"/>
        <v>3.3999962688655487</v>
      </c>
      <c r="S58" s="10" t="s">
        <v>24</v>
      </c>
    </row>
    <row r="59" spans="1:19" x14ac:dyDescent="0.25">
      <c r="A59" s="10" t="s">
        <v>2359</v>
      </c>
      <c r="B59" s="10" t="s">
        <v>2360</v>
      </c>
      <c r="C59" s="10" t="s">
        <v>2354</v>
      </c>
      <c r="D59" s="11">
        <v>45380</v>
      </c>
      <c r="E59" s="12">
        <v>530000</v>
      </c>
      <c r="F59" s="10" t="s">
        <v>29</v>
      </c>
      <c r="G59" s="10" t="s">
        <v>23</v>
      </c>
      <c r="H59" s="12">
        <v>530000</v>
      </c>
      <c r="I59" s="12">
        <v>242540</v>
      </c>
      <c r="J59" s="13">
        <f t="shared" si="10"/>
        <v>45.762264150943395</v>
      </c>
      <c r="K59" s="12">
        <v>485084</v>
      </c>
      <c r="L59" s="12">
        <f>H59-345049</f>
        <v>184951</v>
      </c>
      <c r="M59" s="12">
        <v>140035</v>
      </c>
      <c r="N59" s="12">
        <f t="shared" si="11"/>
        <v>106000</v>
      </c>
      <c r="O59" s="14">
        <v>1.2370000000000001</v>
      </c>
      <c r="P59" s="12">
        <f t="shared" si="12"/>
        <v>149515.76394502827</v>
      </c>
      <c r="Q59" s="15">
        <f t="shared" si="13"/>
        <v>3.4324096406113012</v>
      </c>
      <c r="R59" s="15">
        <f t="shared" si="14"/>
        <v>2.5988369028715907</v>
      </c>
      <c r="S59" s="10" t="s">
        <v>24</v>
      </c>
    </row>
    <row r="60" spans="1:19" x14ac:dyDescent="0.25">
      <c r="A60" s="10" t="s">
        <v>2361</v>
      </c>
      <c r="B60" s="10" t="s">
        <v>2362</v>
      </c>
      <c r="C60" s="10" t="s">
        <v>2354</v>
      </c>
      <c r="D60" s="11">
        <v>45043</v>
      </c>
      <c r="E60" s="12">
        <v>625000</v>
      </c>
      <c r="F60" s="10" t="s">
        <v>22</v>
      </c>
      <c r="G60" s="10" t="s">
        <v>23</v>
      </c>
      <c r="H60" s="12">
        <v>625000</v>
      </c>
      <c r="I60" s="12">
        <v>264440</v>
      </c>
      <c r="J60" s="13">
        <f t="shared" si="10"/>
        <v>42.310400000000001</v>
      </c>
      <c r="K60" s="12">
        <v>528883</v>
      </c>
      <c r="L60" s="12">
        <f>H60-357360</f>
        <v>267640</v>
      </c>
      <c r="M60" s="12">
        <v>171523</v>
      </c>
      <c r="N60" s="12">
        <f t="shared" si="11"/>
        <v>125000</v>
      </c>
      <c r="O60" s="14">
        <v>1.2529999999999999</v>
      </c>
      <c r="P60" s="12">
        <f t="shared" si="12"/>
        <v>213599.36153232245</v>
      </c>
      <c r="Q60" s="15">
        <f t="shared" si="13"/>
        <v>4.9035666100165853</v>
      </c>
      <c r="R60" s="15">
        <f t="shared" si="14"/>
        <v>3.1425588688158519</v>
      </c>
      <c r="S60" s="10" t="s">
        <v>24</v>
      </c>
    </row>
    <row r="61" spans="1:19" x14ac:dyDescent="0.25">
      <c r="A61" s="10" t="s">
        <v>2363</v>
      </c>
      <c r="B61" s="10" t="s">
        <v>2364</v>
      </c>
      <c r="C61" s="10" t="s">
        <v>2354</v>
      </c>
      <c r="D61" s="11">
        <v>45363</v>
      </c>
      <c r="E61" s="12">
        <v>730000</v>
      </c>
      <c r="F61" s="10" t="s">
        <v>22</v>
      </c>
      <c r="G61" s="10" t="s">
        <v>23</v>
      </c>
      <c r="H61" s="12">
        <v>730000</v>
      </c>
      <c r="I61" s="12">
        <v>337870</v>
      </c>
      <c r="J61" s="13">
        <f t="shared" si="10"/>
        <v>46.283561643835618</v>
      </c>
      <c r="K61" s="12">
        <v>675746</v>
      </c>
      <c r="L61" s="12">
        <f>H61-539665</f>
        <v>190335</v>
      </c>
      <c r="M61" s="12">
        <v>136081</v>
      </c>
      <c r="N61" s="12">
        <f t="shared" si="11"/>
        <v>146000</v>
      </c>
      <c r="O61" s="14">
        <v>0.78100000000000003</v>
      </c>
      <c r="P61" s="12">
        <f t="shared" si="12"/>
        <v>243706.7861715749</v>
      </c>
      <c r="Q61" s="15">
        <f t="shared" si="13"/>
        <v>5.5947379745540609</v>
      </c>
      <c r="R61" s="15">
        <f t="shared" si="14"/>
        <v>3.9999870665683721</v>
      </c>
      <c r="S61" s="10" t="s">
        <v>24</v>
      </c>
    </row>
    <row r="62" spans="1:19" x14ac:dyDescent="0.25">
      <c r="A62" s="10" t="s">
        <v>2365</v>
      </c>
      <c r="B62" s="10" t="s">
        <v>2366</v>
      </c>
      <c r="C62" s="10" t="s">
        <v>2354</v>
      </c>
      <c r="D62" s="11">
        <v>45495</v>
      </c>
      <c r="E62" s="12">
        <v>1200000</v>
      </c>
      <c r="F62" s="10" t="s">
        <v>22</v>
      </c>
      <c r="G62" s="10" t="s">
        <v>23</v>
      </c>
      <c r="H62" s="12">
        <v>1200000</v>
      </c>
      <c r="I62" s="12">
        <v>509240</v>
      </c>
      <c r="J62" s="13">
        <f t="shared" si="10"/>
        <v>42.436666666666667</v>
      </c>
      <c r="K62" s="12">
        <v>1018484</v>
      </c>
      <c r="L62" s="12">
        <f>H62-808634</f>
        <v>391366</v>
      </c>
      <c r="M62" s="12">
        <v>209850</v>
      </c>
      <c r="N62" s="12">
        <f t="shared" si="11"/>
        <v>240000</v>
      </c>
      <c r="O62" s="14">
        <v>1.327</v>
      </c>
      <c r="P62" s="12">
        <f t="shared" si="12"/>
        <v>294925.39562923892</v>
      </c>
      <c r="Q62" s="15">
        <f t="shared" si="13"/>
        <v>6.7705554552166873</v>
      </c>
      <c r="R62" s="15">
        <f t="shared" si="14"/>
        <v>3.6303640640148145</v>
      </c>
      <c r="S62" s="10" t="s">
        <v>24</v>
      </c>
    </row>
    <row r="63" spans="1:19" x14ac:dyDescent="0.25">
      <c r="A63" s="10" t="s">
        <v>2367</v>
      </c>
      <c r="B63" s="10" t="s">
        <v>2368</v>
      </c>
      <c r="C63" s="10" t="s">
        <v>2354</v>
      </c>
      <c r="D63" s="11">
        <v>45230</v>
      </c>
      <c r="E63" s="12">
        <v>912000</v>
      </c>
      <c r="F63" s="10" t="s">
        <v>22</v>
      </c>
      <c r="G63" s="10" t="s">
        <v>23</v>
      </c>
      <c r="H63" s="12">
        <v>912000</v>
      </c>
      <c r="I63" s="12">
        <v>364270</v>
      </c>
      <c r="J63" s="13">
        <f t="shared" si="10"/>
        <v>39.941885964912281</v>
      </c>
      <c r="K63" s="12">
        <v>728533</v>
      </c>
      <c r="L63" s="12">
        <f>H63-472923</f>
        <v>439077</v>
      </c>
      <c r="M63" s="12">
        <v>255610</v>
      </c>
      <c r="N63" s="12">
        <f t="shared" si="11"/>
        <v>182400</v>
      </c>
      <c r="O63" s="14">
        <v>1.9119999999999999</v>
      </c>
      <c r="P63" s="12">
        <f t="shared" si="12"/>
        <v>229642.78242677826</v>
      </c>
      <c r="Q63" s="15">
        <f t="shared" si="13"/>
        <v>5.2718728748112547</v>
      </c>
      <c r="R63" s="15">
        <f t="shared" si="14"/>
        <v>3.0690366963664797</v>
      </c>
      <c r="S63" s="10" t="s">
        <v>24</v>
      </c>
    </row>
    <row r="64" spans="1:19" x14ac:dyDescent="0.25">
      <c r="A64" s="10" t="s">
        <v>2369</v>
      </c>
      <c r="B64" s="10" t="s">
        <v>2370</v>
      </c>
      <c r="C64" s="10" t="s">
        <v>2354</v>
      </c>
      <c r="D64" s="11">
        <v>45611</v>
      </c>
      <c r="E64" s="12">
        <v>540000</v>
      </c>
      <c r="F64" s="10" t="s">
        <v>29</v>
      </c>
      <c r="G64" s="10" t="s">
        <v>23</v>
      </c>
      <c r="H64" s="12">
        <v>540000</v>
      </c>
      <c r="I64" s="12">
        <v>265690</v>
      </c>
      <c r="J64" s="13">
        <f t="shared" si="10"/>
        <v>49.201851851851849</v>
      </c>
      <c r="K64" s="12">
        <v>531380</v>
      </c>
      <c r="L64" s="12">
        <f>H64-317609</f>
        <v>222391</v>
      </c>
      <c r="M64" s="12">
        <v>213771</v>
      </c>
      <c r="N64" s="12">
        <f t="shared" si="11"/>
        <v>108000</v>
      </c>
      <c r="O64" s="14">
        <v>1.363</v>
      </c>
      <c r="P64" s="12">
        <f t="shared" si="12"/>
        <v>163162.8760088041</v>
      </c>
      <c r="Q64" s="15">
        <f t="shared" si="13"/>
        <v>3.745704224260884</v>
      </c>
      <c r="R64" s="15">
        <f t="shared" si="14"/>
        <v>3.6005186258637867</v>
      </c>
      <c r="S64" s="10" t="s">
        <v>24</v>
      </c>
    </row>
    <row r="65" spans="1:19" x14ac:dyDescent="0.25">
      <c r="A65" s="10" t="s">
        <v>2371</v>
      </c>
      <c r="B65" s="10" t="s">
        <v>2372</v>
      </c>
      <c r="C65" s="10" t="s">
        <v>2354</v>
      </c>
      <c r="D65" s="11">
        <v>45530</v>
      </c>
      <c r="E65" s="12">
        <v>582000</v>
      </c>
      <c r="F65" s="10" t="s">
        <v>29</v>
      </c>
      <c r="G65" s="10" t="s">
        <v>23</v>
      </c>
      <c r="H65" s="12">
        <v>582000</v>
      </c>
      <c r="I65" s="12">
        <v>199610</v>
      </c>
      <c r="J65" s="13">
        <f t="shared" si="10"/>
        <v>34.297250859106533</v>
      </c>
      <c r="K65" s="12">
        <v>399229</v>
      </c>
      <c r="L65" s="12">
        <f>H65-235574</f>
        <v>346426</v>
      </c>
      <c r="M65" s="12">
        <v>163655</v>
      </c>
      <c r="N65" s="12">
        <f t="shared" si="11"/>
        <v>116400</v>
      </c>
      <c r="O65" s="14">
        <v>1.1679999999999999</v>
      </c>
      <c r="P65" s="12">
        <f t="shared" si="12"/>
        <v>296597.60273972602</v>
      </c>
      <c r="Q65" s="15">
        <f t="shared" si="13"/>
        <v>6.8089440482030765</v>
      </c>
      <c r="R65" s="15">
        <f t="shared" si="14"/>
        <v>3.2166111614274753</v>
      </c>
      <c r="S65" s="10" t="s">
        <v>24</v>
      </c>
    </row>
    <row r="66" spans="1:19" x14ac:dyDescent="0.25">
      <c r="A66" s="10" t="s">
        <v>2373</v>
      </c>
      <c r="B66" s="10" t="s">
        <v>2374</v>
      </c>
      <c r="C66" s="10" t="s">
        <v>2354</v>
      </c>
      <c r="D66" s="11">
        <v>45042</v>
      </c>
      <c r="E66" s="12">
        <v>450000</v>
      </c>
      <c r="F66" s="10" t="s">
        <v>29</v>
      </c>
      <c r="G66" s="10" t="s">
        <v>23</v>
      </c>
      <c r="H66" s="12">
        <v>450000</v>
      </c>
      <c r="I66" s="12">
        <v>187120</v>
      </c>
      <c r="J66" s="13">
        <f t="shared" si="10"/>
        <v>41.582222222222221</v>
      </c>
      <c r="K66" s="12">
        <v>374242</v>
      </c>
      <c r="L66" s="12">
        <f>H66-199109</f>
        <v>250891</v>
      </c>
      <c r="M66" s="12">
        <v>175133</v>
      </c>
      <c r="N66" s="12">
        <f t="shared" si="11"/>
        <v>90000</v>
      </c>
      <c r="O66" s="14">
        <v>1.292</v>
      </c>
      <c r="P66" s="12">
        <f t="shared" si="12"/>
        <v>194188.08049535603</v>
      </c>
      <c r="Q66" s="15">
        <f t="shared" si="13"/>
        <v>4.4579449149530772</v>
      </c>
      <c r="R66" s="15">
        <f t="shared" si="14"/>
        <v>3.1118424606322157</v>
      </c>
      <c r="S66" s="10" t="s">
        <v>24</v>
      </c>
    </row>
    <row r="67" spans="1:19" x14ac:dyDescent="0.25">
      <c r="A67" s="10" t="s">
        <v>2375</v>
      </c>
      <c r="B67" s="10" t="s">
        <v>2376</v>
      </c>
      <c r="C67" s="10" t="s">
        <v>2354</v>
      </c>
      <c r="D67" s="11">
        <v>45114</v>
      </c>
      <c r="E67" s="12">
        <v>731000</v>
      </c>
      <c r="F67" s="10" t="s">
        <v>29</v>
      </c>
      <c r="G67" s="10" t="s">
        <v>23</v>
      </c>
      <c r="H67" s="12">
        <v>731000</v>
      </c>
      <c r="I67" s="12">
        <v>290350</v>
      </c>
      <c r="J67" s="13">
        <f t="shared" si="10"/>
        <v>39.719562243502054</v>
      </c>
      <c r="K67" s="12">
        <v>580690</v>
      </c>
      <c r="L67" s="12">
        <f>H67-365068</f>
        <v>365932</v>
      </c>
      <c r="M67" s="12">
        <v>215622</v>
      </c>
      <c r="N67" s="12">
        <f t="shared" si="11"/>
        <v>146200</v>
      </c>
      <c r="O67" s="14">
        <v>1.38</v>
      </c>
      <c r="P67" s="12">
        <f t="shared" si="12"/>
        <v>265168.11594202899</v>
      </c>
      <c r="Q67" s="15">
        <f t="shared" si="13"/>
        <v>6.0874223127187559</v>
      </c>
      <c r="R67" s="15">
        <f t="shared" si="14"/>
        <v>3.5869565217391308</v>
      </c>
      <c r="S67" s="10" t="s">
        <v>24</v>
      </c>
    </row>
    <row r="68" spans="1:19" x14ac:dyDescent="0.25">
      <c r="A68" s="10" t="s">
        <v>2377</v>
      </c>
      <c r="B68" s="10" t="s">
        <v>2378</v>
      </c>
      <c r="C68" s="10" t="s">
        <v>2354</v>
      </c>
      <c r="D68" s="11">
        <v>45628</v>
      </c>
      <c r="E68" s="12">
        <v>500000</v>
      </c>
      <c r="F68" s="10" t="s">
        <v>22</v>
      </c>
      <c r="G68" s="10" t="s">
        <v>23</v>
      </c>
      <c r="H68" s="12">
        <v>500000</v>
      </c>
      <c r="I68" s="12">
        <v>230170</v>
      </c>
      <c r="J68" s="13">
        <f t="shared" si="10"/>
        <v>46.034000000000006</v>
      </c>
      <c r="K68" s="12">
        <v>460349</v>
      </c>
      <c r="L68" s="12">
        <f>H68-246524</f>
        <v>253476</v>
      </c>
      <c r="M68" s="12">
        <v>213825</v>
      </c>
      <c r="N68" s="12">
        <f t="shared" si="11"/>
        <v>100000</v>
      </c>
      <c r="O68" s="14">
        <v>1.85</v>
      </c>
      <c r="P68" s="12">
        <f t="shared" si="12"/>
        <v>137014.05405405405</v>
      </c>
      <c r="Q68" s="15">
        <f t="shared" si="13"/>
        <v>3.1454098726825999</v>
      </c>
      <c r="R68" s="15">
        <f t="shared" si="14"/>
        <v>2.6533765170128807</v>
      </c>
      <c r="S68" s="10" t="s">
        <v>24</v>
      </c>
    </row>
    <row r="69" spans="1:19" x14ac:dyDescent="0.25">
      <c r="A69" s="10" t="s">
        <v>2379</v>
      </c>
      <c r="B69" s="10" t="s">
        <v>2380</v>
      </c>
      <c r="C69" s="10" t="s">
        <v>2354</v>
      </c>
      <c r="D69" s="11">
        <v>45090</v>
      </c>
      <c r="E69" s="12">
        <v>442000</v>
      </c>
      <c r="F69" s="10" t="s">
        <v>29</v>
      </c>
      <c r="G69" s="10" t="s">
        <v>23</v>
      </c>
      <c r="H69" s="12">
        <v>442000</v>
      </c>
      <c r="I69" s="12">
        <v>159900</v>
      </c>
      <c r="J69" s="13">
        <f t="shared" si="10"/>
        <v>36.17647058823529</v>
      </c>
      <c r="K69" s="12">
        <v>319797</v>
      </c>
      <c r="L69" s="12">
        <f>H69-166849</f>
        <v>275151</v>
      </c>
      <c r="M69" s="12">
        <v>152948</v>
      </c>
      <c r="N69" s="12">
        <f t="shared" si="11"/>
        <v>88400</v>
      </c>
      <c r="O69" s="14">
        <v>0.92400000000000004</v>
      </c>
      <c r="P69" s="12">
        <f t="shared" si="12"/>
        <v>297782.4675324675</v>
      </c>
      <c r="Q69" s="15">
        <f t="shared" si="13"/>
        <v>6.8361448010208337</v>
      </c>
      <c r="R69" s="15">
        <f t="shared" si="14"/>
        <v>3.8000031801684693</v>
      </c>
      <c r="S69" s="10" t="s">
        <v>24</v>
      </c>
    </row>
    <row r="70" spans="1:19" x14ac:dyDescent="0.25">
      <c r="A70" s="10" t="s">
        <v>2381</v>
      </c>
      <c r="B70" s="10" t="s">
        <v>2382</v>
      </c>
      <c r="C70" s="10" t="s">
        <v>2354</v>
      </c>
      <c r="D70" s="11">
        <v>45604</v>
      </c>
      <c r="E70" s="12">
        <v>415000</v>
      </c>
      <c r="F70" s="10" t="s">
        <v>22</v>
      </c>
      <c r="G70" s="10" t="s">
        <v>23</v>
      </c>
      <c r="H70" s="12">
        <v>415000</v>
      </c>
      <c r="I70" s="12">
        <v>231480</v>
      </c>
      <c r="J70" s="13">
        <f t="shared" si="10"/>
        <v>55.778313253012044</v>
      </c>
      <c r="K70" s="12">
        <v>462968</v>
      </c>
      <c r="L70" s="12">
        <f>H70-288728</f>
        <v>126272</v>
      </c>
      <c r="M70" s="12">
        <v>174240</v>
      </c>
      <c r="N70" s="12">
        <f t="shared" si="11"/>
        <v>83000</v>
      </c>
      <c r="O70" s="14">
        <v>1</v>
      </c>
      <c r="P70" s="12">
        <f t="shared" si="12"/>
        <v>126272</v>
      </c>
      <c r="Q70" s="15">
        <f t="shared" si="13"/>
        <v>2.8988062442607898</v>
      </c>
      <c r="R70" s="15">
        <f t="shared" si="14"/>
        <v>4</v>
      </c>
      <c r="S70" s="10" t="s">
        <v>24</v>
      </c>
    </row>
    <row r="71" spans="1:19" x14ac:dyDescent="0.25">
      <c r="A71" s="10" t="s">
        <v>2383</v>
      </c>
      <c r="B71" s="10" t="s">
        <v>2384</v>
      </c>
      <c r="C71" s="10" t="s">
        <v>2354</v>
      </c>
      <c r="D71" s="11">
        <v>45268</v>
      </c>
      <c r="E71" s="12">
        <v>535000</v>
      </c>
      <c r="F71" s="10" t="s">
        <v>22</v>
      </c>
      <c r="G71" s="10" t="s">
        <v>23</v>
      </c>
      <c r="H71" s="12">
        <v>535000</v>
      </c>
      <c r="I71" s="12">
        <v>173630</v>
      </c>
      <c r="J71" s="13">
        <f t="shared" si="10"/>
        <v>32.454205607476631</v>
      </c>
      <c r="K71" s="12">
        <v>347263</v>
      </c>
      <c r="L71" s="12">
        <f>H71-259098</f>
        <v>275902</v>
      </c>
      <c r="M71" s="12">
        <v>88165</v>
      </c>
      <c r="N71" s="12">
        <f t="shared" si="11"/>
        <v>107000</v>
      </c>
      <c r="O71" s="14">
        <v>0.50600000000000001</v>
      </c>
      <c r="P71" s="12">
        <f t="shared" si="12"/>
        <v>545260.86956521741</v>
      </c>
      <c r="Q71" s="15">
        <f t="shared" si="13"/>
        <v>12.517467161735937</v>
      </c>
      <c r="R71" s="15">
        <f t="shared" si="14"/>
        <v>3.9999800375294443</v>
      </c>
      <c r="S71" s="10" t="s">
        <v>24</v>
      </c>
    </row>
    <row r="72" spans="1:19" x14ac:dyDescent="0.25">
      <c r="A72" s="10" t="s">
        <v>2385</v>
      </c>
      <c r="B72" s="10" t="s">
        <v>2386</v>
      </c>
      <c r="C72" s="10" t="s">
        <v>2354</v>
      </c>
      <c r="D72" s="11">
        <v>45182</v>
      </c>
      <c r="E72" s="12">
        <v>720000</v>
      </c>
      <c r="F72" s="10" t="s">
        <v>22</v>
      </c>
      <c r="G72" s="10" t="s">
        <v>23</v>
      </c>
      <c r="H72" s="12">
        <v>720000</v>
      </c>
      <c r="I72" s="12">
        <v>312500</v>
      </c>
      <c r="J72" s="13">
        <f t="shared" si="10"/>
        <v>43.402777777777779</v>
      </c>
      <c r="K72" s="12">
        <v>624990</v>
      </c>
      <c r="L72" s="12">
        <f>H72-448899</f>
        <v>271101</v>
      </c>
      <c r="M72" s="12">
        <v>176091</v>
      </c>
      <c r="N72" s="12">
        <f t="shared" si="11"/>
        <v>144000</v>
      </c>
      <c r="O72" s="14">
        <v>1.0169999999999999</v>
      </c>
      <c r="P72" s="12">
        <f t="shared" si="12"/>
        <v>266569.32153392333</v>
      </c>
      <c r="Q72" s="15">
        <f t="shared" si="13"/>
        <v>6.1195895668944749</v>
      </c>
      <c r="R72" s="15">
        <f t="shared" si="14"/>
        <v>3.9749194817577767</v>
      </c>
      <c r="S72" s="10" t="s">
        <v>24</v>
      </c>
    </row>
    <row r="73" spans="1:19" ht="15.75" thickBot="1" x14ac:dyDescent="0.3">
      <c r="A73" s="16"/>
      <c r="B73" s="16"/>
      <c r="C73" s="16"/>
      <c r="D73" s="17"/>
      <c r="E73" s="18"/>
      <c r="F73" s="16"/>
      <c r="G73" s="16"/>
      <c r="H73" s="18"/>
      <c r="I73" s="18"/>
      <c r="J73" s="19"/>
      <c r="K73" s="18"/>
      <c r="L73" s="18">
        <f>AVERAGE(L56:L72)</f>
        <v>275381.8823529412</v>
      </c>
      <c r="M73" s="18">
        <f>AVERAGE(M56:M72)</f>
        <v>170405.9411764706</v>
      </c>
      <c r="N73" s="18">
        <f>AVERAGE(N56:N72)</f>
        <v>146411.76470588235</v>
      </c>
      <c r="O73" s="20"/>
      <c r="P73" s="18"/>
      <c r="Q73" s="21">
        <f>AVERAGE(Q56:Q72)</f>
        <v>5.9910727246637778</v>
      </c>
      <c r="R73" s="21">
        <f>AVERAGE(R56:R72)</f>
        <v>3.5167632076016382</v>
      </c>
      <c r="S73" s="16"/>
    </row>
    <row r="74" spans="1:19" ht="15.75" thickTop="1" x14ac:dyDescent="0.25">
      <c r="A74" s="10"/>
      <c r="B74" s="10"/>
      <c r="C74" s="10"/>
      <c r="D74" s="11"/>
      <c r="E74" s="12"/>
      <c r="F74" s="10"/>
      <c r="G74" s="10"/>
      <c r="H74" s="12"/>
      <c r="I74" s="12"/>
      <c r="J74" s="13"/>
      <c r="K74" s="12"/>
      <c r="L74" s="12"/>
      <c r="M74" s="12"/>
      <c r="N74" s="12"/>
      <c r="O74" s="14"/>
      <c r="P74" s="12"/>
      <c r="Q74" s="15"/>
      <c r="R74" s="15"/>
      <c r="S74" s="10"/>
    </row>
    <row r="75" spans="1:19" x14ac:dyDescent="0.25">
      <c r="A75" s="10"/>
      <c r="B75" s="10"/>
      <c r="C75" s="10"/>
      <c r="D75" s="11"/>
      <c r="E75" s="12"/>
      <c r="F75" s="10"/>
      <c r="G75" s="10"/>
      <c r="H75" s="12"/>
      <c r="I75" s="12"/>
      <c r="J75" s="13"/>
      <c r="K75" s="12"/>
      <c r="L75" s="12"/>
      <c r="M75" s="12"/>
      <c r="N75" s="12"/>
      <c r="O75" s="14"/>
      <c r="P75" s="12"/>
      <c r="Q75" s="15"/>
      <c r="R75" s="15"/>
      <c r="S75" s="10"/>
    </row>
    <row r="76" spans="1:19" x14ac:dyDescent="0.25">
      <c r="A76" s="10" t="s">
        <v>2387</v>
      </c>
      <c r="B76" s="10" t="s">
        <v>2388</v>
      </c>
      <c r="C76" s="10" t="s">
        <v>2389</v>
      </c>
      <c r="D76" s="11">
        <v>45152</v>
      </c>
      <c r="E76" s="12">
        <v>650000</v>
      </c>
      <c r="F76" s="10" t="s">
        <v>22</v>
      </c>
      <c r="G76" s="10" t="s">
        <v>23</v>
      </c>
      <c r="H76" s="12">
        <v>650000</v>
      </c>
      <c r="I76" s="12">
        <v>313130</v>
      </c>
      <c r="J76" s="13">
        <f>I76/H76*100</f>
        <v>48.173846153846156</v>
      </c>
      <c r="K76" s="12">
        <v>626252</v>
      </c>
      <c r="L76" s="12">
        <f>H76-531252</f>
        <v>118748</v>
      </c>
      <c r="M76" s="12">
        <v>95000</v>
      </c>
      <c r="N76" s="12">
        <f>E76*0.2</f>
        <v>130000</v>
      </c>
      <c r="O76" s="14">
        <v>1</v>
      </c>
      <c r="P76" s="12">
        <f>L76/O76</f>
        <v>118748</v>
      </c>
      <c r="Q76" s="15">
        <f>L76/O76/43560</f>
        <v>2.726078971533517</v>
      </c>
      <c r="R76" s="15">
        <f>M76/O76/43560</f>
        <v>2.1808999081726355</v>
      </c>
      <c r="S76" s="10" t="s">
        <v>97</v>
      </c>
    </row>
    <row r="77" spans="1:19" ht="15.75" thickBot="1" x14ac:dyDescent="0.3">
      <c r="A77" s="16"/>
      <c r="B77" s="16"/>
      <c r="C77" s="16"/>
      <c r="D77" s="17"/>
      <c r="E77" s="18"/>
      <c r="F77" s="16"/>
      <c r="G77" s="16"/>
      <c r="H77" s="18"/>
      <c r="I77" s="18"/>
      <c r="J77" s="19"/>
      <c r="K77" s="18"/>
      <c r="L77" s="18">
        <f>AVERAGE(L76)</f>
        <v>118748</v>
      </c>
      <c r="M77" s="18">
        <f>AVERAGE(M76)</f>
        <v>95000</v>
      </c>
      <c r="N77" s="18">
        <f>AVERAGE(N76)</f>
        <v>130000</v>
      </c>
      <c r="O77" s="20"/>
      <c r="P77" s="18"/>
      <c r="Q77" s="21">
        <f>AVERAGE(Q76)</f>
        <v>2.726078971533517</v>
      </c>
      <c r="R77" s="21">
        <f>AVERAGE(R76)</f>
        <v>2.1808999081726355</v>
      </c>
      <c r="S77" s="16"/>
    </row>
    <row r="78" spans="1:19" ht="15.75" thickTop="1" x14ac:dyDescent="0.25">
      <c r="A78" s="10"/>
      <c r="B78" s="10"/>
      <c r="C78" s="10"/>
      <c r="D78" s="11"/>
      <c r="E78" s="12"/>
      <c r="F78" s="10"/>
      <c r="G78" s="10"/>
      <c r="H78" s="12"/>
      <c r="I78" s="12"/>
      <c r="J78" s="13"/>
      <c r="K78" s="12"/>
      <c r="L78" s="12"/>
      <c r="M78" s="12"/>
      <c r="N78" s="12"/>
      <c r="O78" s="14"/>
      <c r="P78" s="12"/>
      <c r="Q78" s="15"/>
      <c r="R78" s="15"/>
      <c r="S78" s="10"/>
    </row>
    <row r="79" spans="1:19" x14ac:dyDescent="0.25">
      <c r="A79" s="10"/>
      <c r="B79" s="10"/>
      <c r="C79" s="10"/>
      <c r="D79" s="11"/>
      <c r="E79" s="12"/>
      <c r="F79" s="10"/>
      <c r="G79" s="10"/>
      <c r="H79" s="12"/>
      <c r="I79" s="12"/>
      <c r="J79" s="13"/>
      <c r="K79" s="12"/>
      <c r="L79" s="12"/>
      <c r="M79" s="12"/>
      <c r="N79" s="12"/>
      <c r="O79" s="14"/>
      <c r="P79" s="12"/>
      <c r="Q79" s="15"/>
      <c r="R79" s="15"/>
      <c r="S79" s="10"/>
    </row>
    <row r="80" spans="1:19" x14ac:dyDescent="0.25">
      <c r="A80" s="10"/>
      <c r="B80" s="10"/>
      <c r="C80" s="10"/>
      <c r="D80" s="11"/>
      <c r="E80" s="12"/>
      <c r="F80" s="10"/>
      <c r="G80" s="10"/>
      <c r="H80" s="12"/>
      <c r="I80" s="12"/>
      <c r="J80" s="13"/>
      <c r="K80" s="12"/>
      <c r="L80" s="12"/>
      <c r="M80" s="12"/>
      <c r="N80" s="12"/>
      <c r="O80" s="14"/>
      <c r="P80" s="12"/>
      <c r="Q80" s="15"/>
      <c r="R80" s="15"/>
      <c r="S80" s="10"/>
    </row>
    <row r="81" spans="1:19" x14ac:dyDescent="0.25">
      <c r="A81" s="10"/>
      <c r="B81" s="10"/>
      <c r="C81" s="10"/>
      <c r="D81" s="11"/>
      <c r="E81" s="12"/>
      <c r="F81" s="10"/>
      <c r="G81" s="10"/>
      <c r="H81" s="12"/>
      <c r="I81" s="12"/>
      <c r="J81" s="13"/>
      <c r="K81" s="12"/>
      <c r="L81" s="12"/>
      <c r="M81" s="12"/>
      <c r="N81" s="12"/>
      <c r="O81" s="14"/>
      <c r="P81" s="12"/>
      <c r="Q81" s="15"/>
      <c r="R81" s="15"/>
      <c r="S81" s="10"/>
    </row>
    <row r="82" spans="1:19" x14ac:dyDescent="0.25">
      <c r="A82" s="10" t="s">
        <v>2390</v>
      </c>
      <c r="B82" s="10" t="s">
        <v>2391</v>
      </c>
      <c r="C82" s="10" t="s">
        <v>2392</v>
      </c>
      <c r="D82" s="11">
        <v>45702</v>
      </c>
      <c r="E82" s="12">
        <v>365000</v>
      </c>
      <c r="F82" s="10" t="s">
        <v>29</v>
      </c>
      <c r="G82" s="10" t="s">
        <v>23</v>
      </c>
      <c r="H82" s="12">
        <v>365000</v>
      </c>
      <c r="I82" s="12">
        <v>138450</v>
      </c>
      <c r="J82" s="13">
        <f>I82/H82*100</f>
        <v>37.931506849315063</v>
      </c>
      <c r="K82" s="12">
        <v>276890</v>
      </c>
      <c r="L82" s="12">
        <f>H82-191890</f>
        <v>173110</v>
      </c>
      <c r="M82" s="12">
        <v>85000</v>
      </c>
      <c r="N82" s="12">
        <f>E82*0.2</f>
        <v>73000</v>
      </c>
      <c r="O82" s="14">
        <v>1</v>
      </c>
      <c r="P82" s="12">
        <f>L82/O82</f>
        <v>173110</v>
      </c>
      <c r="Q82" s="15">
        <f>L82/O82/43560</f>
        <v>3.9740587695133152</v>
      </c>
      <c r="R82" s="15">
        <f>M82/O82/43560</f>
        <v>1.9513314967860422</v>
      </c>
      <c r="S82" s="10" t="s">
        <v>97</v>
      </c>
    </row>
    <row r="83" spans="1:19" x14ac:dyDescent="0.25">
      <c r="A83" s="10" t="s">
        <v>2393</v>
      </c>
      <c r="B83" s="10" t="s">
        <v>2394</v>
      </c>
      <c r="C83" s="10" t="s">
        <v>2392</v>
      </c>
      <c r="D83" s="11">
        <v>45356</v>
      </c>
      <c r="E83" s="12">
        <v>287000</v>
      </c>
      <c r="F83" s="10" t="s">
        <v>22</v>
      </c>
      <c r="G83" s="10" t="s">
        <v>23</v>
      </c>
      <c r="H83" s="12">
        <v>287000</v>
      </c>
      <c r="I83" s="12">
        <v>146710</v>
      </c>
      <c r="J83" s="13">
        <f>I83/H83*100</f>
        <v>51.118466898954708</v>
      </c>
      <c r="K83" s="12">
        <v>293427</v>
      </c>
      <c r="L83" s="12">
        <f>H83-208427</f>
        <v>78573</v>
      </c>
      <c r="M83" s="12">
        <v>85000</v>
      </c>
      <c r="N83" s="12">
        <f>E83*0.2</f>
        <v>57400</v>
      </c>
      <c r="O83" s="14">
        <v>1</v>
      </c>
      <c r="P83" s="12">
        <f>L83/O83</f>
        <v>78573</v>
      </c>
      <c r="Q83" s="15">
        <f>L83/O83/43560</f>
        <v>1.8037878787878787</v>
      </c>
      <c r="R83" s="15">
        <f>M83/O83/43560</f>
        <v>1.9513314967860422</v>
      </c>
      <c r="S83" s="10" t="s">
        <v>97</v>
      </c>
    </row>
    <row r="84" spans="1:19" x14ac:dyDescent="0.25">
      <c r="A84" s="10" t="s">
        <v>2395</v>
      </c>
      <c r="B84" s="10" t="s">
        <v>2396</v>
      </c>
      <c r="C84" s="10" t="s">
        <v>2392</v>
      </c>
      <c r="D84" s="11">
        <v>45044</v>
      </c>
      <c r="E84" s="12">
        <v>321000</v>
      </c>
      <c r="F84" s="10" t="s">
        <v>29</v>
      </c>
      <c r="G84" s="10" t="s">
        <v>23</v>
      </c>
      <c r="H84" s="12">
        <v>321000</v>
      </c>
      <c r="I84" s="12">
        <v>151390</v>
      </c>
      <c r="J84" s="13">
        <f>I84/H84*100</f>
        <v>47.161993769470406</v>
      </c>
      <c r="K84" s="12">
        <v>302788</v>
      </c>
      <c r="L84" s="12">
        <f>H84-217788</f>
        <v>103212</v>
      </c>
      <c r="M84" s="12">
        <v>85000</v>
      </c>
      <c r="N84" s="12">
        <f>E84*0.2</f>
        <v>64200</v>
      </c>
      <c r="O84" s="14">
        <v>1</v>
      </c>
      <c r="P84" s="12">
        <f>L84/O84</f>
        <v>103212</v>
      </c>
      <c r="Q84" s="15">
        <f>L84/O84/43560</f>
        <v>2.3694214876033057</v>
      </c>
      <c r="R84" s="15">
        <f>M84/O84/43560</f>
        <v>1.9513314967860422</v>
      </c>
      <c r="S84" s="10" t="s">
        <v>97</v>
      </c>
    </row>
    <row r="85" spans="1:19" x14ac:dyDescent="0.25">
      <c r="A85" s="10" t="s">
        <v>2397</v>
      </c>
      <c r="B85" s="10" t="s">
        <v>2398</v>
      </c>
      <c r="C85" s="10" t="s">
        <v>2392</v>
      </c>
      <c r="D85" s="11">
        <v>45460</v>
      </c>
      <c r="E85" s="12">
        <v>309000</v>
      </c>
      <c r="F85" s="10" t="s">
        <v>22</v>
      </c>
      <c r="G85" s="10" t="s">
        <v>23</v>
      </c>
      <c r="H85" s="12">
        <v>309000</v>
      </c>
      <c r="I85" s="12">
        <v>157420</v>
      </c>
      <c r="J85" s="13">
        <f>I85/H85*100</f>
        <v>50.944983818770226</v>
      </c>
      <c r="K85" s="12">
        <v>314833</v>
      </c>
      <c r="L85" s="12">
        <f>H85-229833</f>
        <v>79167</v>
      </c>
      <c r="M85" s="12">
        <v>85000</v>
      </c>
      <c r="N85" s="12">
        <f>E85*0.2</f>
        <v>61800</v>
      </c>
      <c r="O85" s="14">
        <v>1</v>
      </c>
      <c r="P85" s="12">
        <f>L85/O85</f>
        <v>79167</v>
      </c>
      <c r="Q85" s="15">
        <f>L85/O85/43560</f>
        <v>1.8174242424242424</v>
      </c>
      <c r="R85" s="15">
        <f>M85/O85/43560</f>
        <v>1.9513314967860422</v>
      </c>
      <c r="S85" s="10" t="s">
        <v>97</v>
      </c>
    </row>
    <row r="86" spans="1:19" ht="15.75" thickBot="1" x14ac:dyDescent="0.3">
      <c r="A86" s="16"/>
      <c r="B86" s="16"/>
      <c r="C86" s="16"/>
      <c r="D86" s="17"/>
      <c r="E86" s="18"/>
      <c r="F86" s="16"/>
      <c r="G86" s="16"/>
      <c r="H86" s="18"/>
      <c r="I86" s="18"/>
      <c r="J86" s="19"/>
      <c r="K86" s="18"/>
      <c r="L86" s="18">
        <f>AVERAGE(L82:L85)</f>
        <v>108515.5</v>
      </c>
      <c r="M86" s="18">
        <f>AVERAGE(M82:M85)</f>
        <v>85000</v>
      </c>
      <c r="N86" s="18">
        <f>AVERAGE(N82:N85)</f>
        <v>64100</v>
      </c>
      <c r="O86" s="20"/>
      <c r="P86" s="18"/>
      <c r="Q86" s="21">
        <f>AVERAGE(Q82:Q85)</f>
        <v>2.4911730945821855</v>
      </c>
      <c r="R86" s="21">
        <f>AVERAGE(R82:R85)</f>
        <v>1.9513314967860422</v>
      </c>
      <c r="S86" s="16"/>
    </row>
    <row r="87" spans="1:19" ht="15.75" thickTop="1" x14ac:dyDescent="0.25"/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CF9AD-F0D4-480C-A29A-65440EC257F6}">
  <dimension ref="A1:S52"/>
  <sheetViews>
    <sheetView workbookViewId="0">
      <selection activeCell="A49" sqref="A49:XFD50"/>
    </sheetView>
  </sheetViews>
  <sheetFormatPr defaultRowHeight="15" x14ac:dyDescent="0.25"/>
  <cols>
    <col min="1" max="1" width="12.42578125" bestFit="1" customWidth="1"/>
    <col min="2" max="2" width="20.85546875" bestFit="1" customWidth="1"/>
    <col min="3" max="3" width="12.5703125" bestFit="1" customWidth="1"/>
    <col min="7" max="7" width="13.140625" bestFit="1" customWidth="1"/>
    <col min="13" max="13" width="10.8554687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180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2399</v>
      </c>
      <c r="B2" s="10" t="s">
        <v>2400</v>
      </c>
      <c r="C2" s="10" t="s">
        <v>2401</v>
      </c>
      <c r="D2" s="11">
        <v>45413</v>
      </c>
      <c r="E2" s="12">
        <v>725000</v>
      </c>
      <c r="F2" s="10" t="s">
        <v>29</v>
      </c>
      <c r="G2" s="10" t="s">
        <v>23</v>
      </c>
      <c r="H2" s="12">
        <v>725000</v>
      </c>
      <c r="I2" s="12">
        <v>311100</v>
      </c>
      <c r="J2" s="13">
        <f>I2/H2*100</f>
        <v>42.910344827586208</v>
      </c>
      <c r="K2" s="12">
        <v>622192</v>
      </c>
      <c r="L2" s="12">
        <f>H2-357163</f>
        <v>367837</v>
      </c>
      <c r="M2" s="12">
        <v>265029</v>
      </c>
      <c r="N2" s="12">
        <f>E2*0.2</f>
        <v>145000</v>
      </c>
      <c r="O2" s="14">
        <v>0.69799999999999995</v>
      </c>
      <c r="P2" s="12">
        <f>L2/O2</f>
        <v>526987.10601719201</v>
      </c>
      <c r="Q2" s="15">
        <f>L2/O2/43560</f>
        <v>12.097959274958495</v>
      </c>
      <c r="R2" s="15">
        <f>M2/O2/43560</f>
        <v>8.7166599572173951</v>
      </c>
      <c r="S2" s="10" t="s">
        <v>24</v>
      </c>
    </row>
    <row r="3" spans="1:19" x14ac:dyDescent="0.25">
      <c r="A3" s="10" t="s">
        <v>2402</v>
      </c>
      <c r="B3" s="10" t="s">
        <v>2403</v>
      </c>
      <c r="C3" s="10" t="s">
        <v>2401</v>
      </c>
      <c r="D3" s="11">
        <v>45076</v>
      </c>
      <c r="E3" s="12">
        <v>975000</v>
      </c>
      <c r="F3" s="10" t="s">
        <v>29</v>
      </c>
      <c r="G3" s="10" t="s">
        <v>23</v>
      </c>
      <c r="H3" s="12">
        <v>975000</v>
      </c>
      <c r="I3" s="12">
        <v>393120</v>
      </c>
      <c r="J3" s="13">
        <f>I3/H3*100</f>
        <v>40.32</v>
      </c>
      <c r="K3" s="12">
        <v>786244</v>
      </c>
      <c r="L3" s="12">
        <f>H3-534553</f>
        <v>440447</v>
      </c>
      <c r="M3" s="12">
        <v>251691</v>
      </c>
      <c r="N3" s="12">
        <f>E3*0.2</f>
        <v>195000</v>
      </c>
      <c r="O3" s="14">
        <v>0.501</v>
      </c>
      <c r="P3" s="12">
        <f>L3/O3</f>
        <v>879135.72854291415</v>
      </c>
      <c r="Q3" s="15">
        <f>L3/O3/43560</f>
        <v>20.182179259479206</v>
      </c>
      <c r="R3" s="15">
        <f>M3/O3/43560</f>
        <v>11.532994616826953</v>
      </c>
      <c r="S3" s="10" t="s">
        <v>24</v>
      </c>
    </row>
    <row r="4" spans="1:19" ht="15.75" thickBot="1" x14ac:dyDescent="0.3">
      <c r="A4" s="16"/>
      <c r="B4" s="16"/>
      <c r="C4" s="16"/>
      <c r="D4" s="17"/>
      <c r="E4" s="18"/>
      <c r="F4" s="16"/>
      <c r="G4" s="16"/>
      <c r="H4" s="18"/>
      <c r="I4" s="18"/>
      <c r="J4" s="19"/>
      <c r="K4" s="18"/>
      <c r="L4" s="18">
        <f>AVERAGE(L2:L3)</f>
        <v>404142</v>
      </c>
      <c r="M4" s="18">
        <f>AVERAGE(M2:M3)</f>
        <v>258360</v>
      </c>
      <c r="N4" s="18">
        <f>AVERAGE(N2:N3)</f>
        <v>170000</v>
      </c>
      <c r="O4" s="20"/>
      <c r="P4" s="18"/>
      <c r="Q4" s="21">
        <f>AVERAGE(Q2:Q3)</f>
        <v>16.140069267218848</v>
      </c>
      <c r="R4" s="21">
        <f>AVERAGE(R2:R3)</f>
        <v>10.124827287022175</v>
      </c>
      <c r="S4" s="16"/>
    </row>
    <row r="5" spans="1:19" ht="15.75" thickTop="1" x14ac:dyDescent="0.25">
      <c r="A5" s="10"/>
      <c r="B5" s="10"/>
      <c r="C5" s="10"/>
      <c r="D5" s="11"/>
      <c r="E5" s="12"/>
      <c r="F5" s="10"/>
      <c r="G5" s="10"/>
      <c r="H5" s="12"/>
      <c r="I5" s="12"/>
      <c r="J5" s="13"/>
      <c r="K5" s="12"/>
      <c r="L5" s="12"/>
      <c r="M5" s="12"/>
      <c r="N5" s="12"/>
      <c r="O5" s="14"/>
      <c r="P5" s="12"/>
      <c r="Q5" s="15"/>
      <c r="R5" s="15"/>
      <c r="S5" s="10"/>
    </row>
    <row r="6" spans="1:19" x14ac:dyDescent="0.25">
      <c r="A6" s="10"/>
      <c r="B6" s="10"/>
      <c r="C6" s="10"/>
      <c r="D6" s="11"/>
      <c r="E6" s="12"/>
      <c r="F6" s="10"/>
      <c r="G6" s="10"/>
      <c r="H6" s="12"/>
      <c r="I6" s="12"/>
      <c r="J6" s="13"/>
      <c r="K6" s="12"/>
      <c r="L6" s="12"/>
      <c r="M6" s="12"/>
      <c r="N6" s="12"/>
      <c r="O6" s="14"/>
      <c r="P6" s="12"/>
      <c r="Q6" s="15"/>
      <c r="R6" s="15"/>
      <c r="S6" s="10"/>
    </row>
    <row r="7" spans="1:19" x14ac:dyDescent="0.25">
      <c r="A7" s="10" t="s">
        <v>2404</v>
      </c>
      <c r="B7" s="10" t="s">
        <v>630</v>
      </c>
      <c r="C7" s="10" t="s">
        <v>2405</v>
      </c>
      <c r="D7" s="11">
        <v>45695</v>
      </c>
      <c r="E7" s="12">
        <v>14600</v>
      </c>
      <c r="F7" s="10" t="s">
        <v>22</v>
      </c>
      <c r="G7" s="10" t="s">
        <v>23</v>
      </c>
      <c r="H7" s="12">
        <v>14600</v>
      </c>
      <c r="I7" s="12">
        <v>1180</v>
      </c>
      <c r="J7" s="13">
        <f t="shared" ref="J7:J25" si="0">I7/H7*100</f>
        <v>8.0821917808219172</v>
      </c>
      <c r="K7" s="12">
        <v>2354</v>
      </c>
      <c r="L7" s="12">
        <f>H7-0</f>
        <v>14600</v>
      </c>
      <c r="M7" s="12">
        <v>2354</v>
      </c>
      <c r="N7" s="12">
        <f t="shared" ref="N7:N25" si="1">E7*0.2</f>
        <v>2920</v>
      </c>
      <c r="O7" s="14">
        <v>0.73399999999999999</v>
      </c>
      <c r="P7" s="12">
        <f t="shared" ref="P7:P25" si="2">L7/O7</f>
        <v>19891.00817438692</v>
      </c>
      <c r="Q7" s="15">
        <f t="shared" ref="Q7:Q25" si="3">L7/O7/43560</f>
        <v>0.45663471474717449</v>
      </c>
      <c r="R7" s="15">
        <f t="shared" ref="R7:R25" si="4">M7/O7/43560</f>
        <v>7.3624528665400604E-2</v>
      </c>
      <c r="S7" s="10" t="s">
        <v>504</v>
      </c>
    </row>
    <row r="8" spans="1:19" x14ac:dyDescent="0.25">
      <c r="A8" s="10" t="s">
        <v>2406</v>
      </c>
      <c r="B8" s="10" t="s">
        <v>630</v>
      </c>
      <c r="C8" s="10" t="s">
        <v>2405</v>
      </c>
      <c r="D8" s="11">
        <v>45695</v>
      </c>
      <c r="E8" s="12">
        <v>10800</v>
      </c>
      <c r="F8" s="10" t="s">
        <v>22</v>
      </c>
      <c r="G8" s="10" t="s">
        <v>23</v>
      </c>
      <c r="H8" s="12">
        <v>10800</v>
      </c>
      <c r="I8" s="12">
        <v>1080</v>
      </c>
      <c r="J8" s="13">
        <f t="shared" si="0"/>
        <v>10</v>
      </c>
      <c r="K8" s="12">
        <v>2153</v>
      </c>
      <c r="L8" s="12">
        <f>H8-0</f>
        <v>10800</v>
      </c>
      <c r="M8" s="12">
        <v>2153</v>
      </c>
      <c r="N8" s="12">
        <f t="shared" si="1"/>
        <v>2160</v>
      </c>
      <c r="O8" s="14">
        <v>0.65700000000000003</v>
      </c>
      <c r="P8" s="12">
        <f t="shared" si="2"/>
        <v>16438.35616438356</v>
      </c>
      <c r="Q8" s="15">
        <f t="shared" si="3"/>
        <v>0.37737273104645452</v>
      </c>
      <c r="R8" s="15">
        <f t="shared" si="4"/>
        <v>7.5229952772501538E-2</v>
      </c>
      <c r="S8" s="10" t="s">
        <v>504</v>
      </c>
    </row>
    <row r="9" spans="1:19" x14ac:dyDescent="0.25">
      <c r="A9" s="10" t="s">
        <v>2407</v>
      </c>
      <c r="B9" s="10" t="s">
        <v>630</v>
      </c>
      <c r="C9" s="10" t="s">
        <v>2405</v>
      </c>
      <c r="D9" s="11">
        <v>45695</v>
      </c>
      <c r="E9" s="12">
        <v>14600</v>
      </c>
      <c r="F9" s="10" t="s">
        <v>22</v>
      </c>
      <c r="G9" s="10" t="s">
        <v>23</v>
      </c>
      <c r="H9" s="12">
        <v>14600</v>
      </c>
      <c r="I9" s="12">
        <v>1460</v>
      </c>
      <c r="J9" s="13">
        <f t="shared" si="0"/>
        <v>10</v>
      </c>
      <c r="K9" s="12">
        <v>2928</v>
      </c>
      <c r="L9" s="12">
        <f>H9-0</f>
        <v>14600</v>
      </c>
      <c r="M9" s="12">
        <v>2928</v>
      </c>
      <c r="N9" s="12">
        <f t="shared" si="1"/>
        <v>2920</v>
      </c>
      <c r="O9" s="14">
        <v>1.0720000000000001</v>
      </c>
      <c r="P9" s="12">
        <f t="shared" si="2"/>
        <v>13619.402985074626</v>
      </c>
      <c r="Q9" s="15">
        <f t="shared" si="3"/>
        <v>0.31265847073174075</v>
      </c>
      <c r="R9" s="15">
        <f t="shared" si="4"/>
        <v>6.2703013856338141E-2</v>
      </c>
      <c r="S9" s="10" t="s">
        <v>504</v>
      </c>
    </row>
    <row r="10" spans="1:19" x14ac:dyDescent="0.25">
      <c r="A10" s="10" t="s">
        <v>2408</v>
      </c>
      <c r="B10" s="10" t="s">
        <v>2409</v>
      </c>
      <c r="C10" s="10" t="s">
        <v>2405</v>
      </c>
      <c r="D10" s="11">
        <v>45541</v>
      </c>
      <c r="E10" s="12">
        <v>630000</v>
      </c>
      <c r="F10" s="10" t="s">
        <v>29</v>
      </c>
      <c r="G10" s="10" t="s">
        <v>23</v>
      </c>
      <c r="H10" s="12">
        <v>630000</v>
      </c>
      <c r="I10" s="12">
        <v>358070</v>
      </c>
      <c r="J10" s="13">
        <f t="shared" si="0"/>
        <v>56.836507936507942</v>
      </c>
      <c r="K10" s="12">
        <v>716148</v>
      </c>
      <c r="L10" s="12">
        <f>H10-556130</f>
        <v>73870</v>
      </c>
      <c r="M10" s="12">
        <v>160018</v>
      </c>
      <c r="N10" s="12">
        <f t="shared" si="1"/>
        <v>126000</v>
      </c>
      <c r="O10" s="14">
        <v>1.6970000000000001</v>
      </c>
      <c r="P10" s="12">
        <f t="shared" si="2"/>
        <v>43529.758397171478</v>
      </c>
      <c r="Q10" s="15">
        <f t="shared" si="3"/>
        <v>0.99930574832808716</v>
      </c>
      <c r="R10" s="15">
        <f t="shared" si="4"/>
        <v>2.1647070155132511</v>
      </c>
      <c r="S10" s="10" t="s">
        <v>24</v>
      </c>
    </row>
    <row r="11" spans="1:19" x14ac:dyDescent="0.25">
      <c r="A11" s="10" t="s">
        <v>2410</v>
      </c>
      <c r="B11" s="10" t="s">
        <v>2411</v>
      </c>
      <c r="C11" s="10" t="s">
        <v>2405</v>
      </c>
      <c r="D11" s="11">
        <v>45610</v>
      </c>
      <c r="E11" s="12">
        <v>435000</v>
      </c>
      <c r="F11" s="10" t="s">
        <v>22</v>
      </c>
      <c r="G11" s="10" t="s">
        <v>23</v>
      </c>
      <c r="H11" s="12">
        <v>435000</v>
      </c>
      <c r="I11" s="12">
        <v>156140</v>
      </c>
      <c r="J11" s="13">
        <f t="shared" si="0"/>
        <v>35.894252873563218</v>
      </c>
      <c r="K11" s="12">
        <v>312272</v>
      </c>
      <c r="L11" s="12">
        <f>H11-206857</f>
        <v>228143</v>
      </c>
      <c r="M11" s="12">
        <v>105415</v>
      </c>
      <c r="N11" s="12">
        <f t="shared" si="1"/>
        <v>87000</v>
      </c>
      <c r="O11" s="14">
        <v>0.64</v>
      </c>
      <c r="P11" s="12">
        <f t="shared" si="2"/>
        <v>356473.4375</v>
      </c>
      <c r="Q11" s="15">
        <f t="shared" si="3"/>
        <v>8.183504074839302</v>
      </c>
      <c r="R11" s="15">
        <f t="shared" si="4"/>
        <v>3.7812428259871442</v>
      </c>
      <c r="S11" s="10" t="s">
        <v>24</v>
      </c>
    </row>
    <row r="12" spans="1:19" x14ac:dyDescent="0.25">
      <c r="A12" s="10" t="s">
        <v>2412</v>
      </c>
      <c r="B12" s="10" t="s">
        <v>2413</v>
      </c>
      <c r="C12" s="10" t="s">
        <v>2405</v>
      </c>
      <c r="D12" s="11">
        <v>45504</v>
      </c>
      <c r="E12" s="12">
        <v>750000</v>
      </c>
      <c r="F12" s="10" t="s">
        <v>29</v>
      </c>
      <c r="G12" s="10" t="s">
        <v>23</v>
      </c>
      <c r="H12" s="12">
        <v>750000</v>
      </c>
      <c r="I12" s="12">
        <v>226980</v>
      </c>
      <c r="J12" s="13">
        <f t="shared" si="0"/>
        <v>30.264000000000003</v>
      </c>
      <c r="K12" s="12">
        <v>453950</v>
      </c>
      <c r="L12" s="12">
        <f>H12-361995</f>
        <v>388005</v>
      </c>
      <c r="M12" s="12">
        <v>91955</v>
      </c>
      <c r="N12" s="12">
        <f t="shared" si="1"/>
        <v>150000</v>
      </c>
      <c r="O12" s="14">
        <v>0.53700000000000003</v>
      </c>
      <c r="P12" s="12">
        <f t="shared" si="2"/>
        <v>722541.89944134071</v>
      </c>
      <c r="Q12" s="15">
        <f t="shared" si="3"/>
        <v>16.587279601500015</v>
      </c>
      <c r="R12" s="15">
        <f t="shared" si="4"/>
        <v>3.9310918564346693</v>
      </c>
      <c r="S12" s="10" t="s">
        <v>24</v>
      </c>
    </row>
    <row r="13" spans="1:19" x14ac:dyDescent="0.25">
      <c r="A13" s="10" t="s">
        <v>2414</v>
      </c>
      <c r="B13" s="10" t="s">
        <v>2415</v>
      </c>
      <c r="C13" s="10" t="s">
        <v>2405</v>
      </c>
      <c r="D13" s="11">
        <v>45051</v>
      </c>
      <c r="E13" s="12">
        <v>380000</v>
      </c>
      <c r="F13" s="10" t="s">
        <v>22</v>
      </c>
      <c r="G13" s="10" t="s">
        <v>23</v>
      </c>
      <c r="H13" s="12">
        <v>380000</v>
      </c>
      <c r="I13" s="12">
        <v>198760</v>
      </c>
      <c r="J13" s="13">
        <f t="shared" si="0"/>
        <v>52.305263157894736</v>
      </c>
      <c r="K13" s="12">
        <v>397516</v>
      </c>
      <c r="L13" s="12">
        <f>H13-304385</f>
        <v>75615</v>
      </c>
      <c r="M13" s="12">
        <v>93131</v>
      </c>
      <c r="N13" s="12">
        <f t="shared" si="1"/>
        <v>76000</v>
      </c>
      <c r="O13" s="14">
        <v>0.54600000000000004</v>
      </c>
      <c r="P13" s="12">
        <f t="shared" si="2"/>
        <v>138489.01098901097</v>
      </c>
      <c r="Q13" s="15">
        <f t="shared" si="3"/>
        <v>3.1792702247247697</v>
      </c>
      <c r="R13" s="15">
        <f t="shared" si="4"/>
        <v>3.9157391430118698</v>
      </c>
      <c r="S13" s="10" t="s">
        <v>24</v>
      </c>
    </row>
    <row r="14" spans="1:19" x14ac:dyDescent="0.25">
      <c r="A14" s="10" t="s">
        <v>2416</v>
      </c>
      <c r="B14" s="10" t="s">
        <v>2417</v>
      </c>
      <c r="C14" s="10" t="s">
        <v>2405</v>
      </c>
      <c r="D14" s="11">
        <v>45670</v>
      </c>
      <c r="E14" s="12">
        <v>800000</v>
      </c>
      <c r="F14" s="10" t="s">
        <v>29</v>
      </c>
      <c r="G14" s="10" t="s">
        <v>23</v>
      </c>
      <c r="H14" s="12">
        <v>800000</v>
      </c>
      <c r="I14" s="12">
        <v>394820</v>
      </c>
      <c r="J14" s="13">
        <f t="shared" si="0"/>
        <v>49.352499999999999</v>
      </c>
      <c r="K14" s="12">
        <v>789637</v>
      </c>
      <c r="L14" s="12">
        <f>H14-637482</f>
        <v>162518</v>
      </c>
      <c r="M14" s="12">
        <v>152155</v>
      </c>
      <c r="N14" s="12">
        <f t="shared" si="1"/>
        <v>160000</v>
      </c>
      <c r="O14" s="14">
        <v>1.3360000000000001</v>
      </c>
      <c r="P14" s="12">
        <f t="shared" si="2"/>
        <v>121645.20958083832</v>
      </c>
      <c r="Q14" s="15">
        <f t="shared" si="3"/>
        <v>2.7925897516262239</v>
      </c>
      <c r="R14" s="15">
        <f t="shared" si="4"/>
        <v>2.6145195834226862</v>
      </c>
      <c r="S14" s="10" t="s">
        <v>24</v>
      </c>
    </row>
    <row r="15" spans="1:19" x14ac:dyDescent="0.25">
      <c r="A15" s="10" t="s">
        <v>2418</v>
      </c>
      <c r="B15" s="10" t="s">
        <v>2419</v>
      </c>
      <c r="C15" s="10" t="s">
        <v>2405</v>
      </c>
      <c r="D15" s="11">
        <v>45189</v>
      </c>
      <c r="E15" s="12">
        <v>800000</v>
      </c>
      <c r="F15" s="10" t="s">
        <v>29</v>
      </c>
      <c r="G15" s="10" t="s">
        <v>23</v>
      </c>
      <c r="H15" s="12">
        <v>800000</v>
      </c>
      <c r="I15" s="12">
        <v>334900</v>
      </c>
      <c r="J15" s="13">
        <f t="shared" si="0"/>
        <v>41.862500000000004</v>
      </c>
      <c r="K15" s="12">
        <v>669797</v>
      </c>
      <c r="L15" s="12">
        <f>H15-543795</f>
        <v>256205</v>
      </c>
      <c r="M15" s="12">
        <v>126002</v>
      </c>
      <c r="N15" s="12">
        <f t="shared" si="1"/>
        <v>160000</v>
      </c>
      <c r="O15" s="14">
        <v>0.81200000000000006</v>
      </c>
      <c r="P15" s="12">
        <f t="shared" si="2"/>
        <v>315523.39901477832</v>
      </c>
      <c r="Q15" s="15">
        <f t="shared" si="3"/>
        <v>7.2434205467120822</v>
      </c>
      <c r="R15" s="15">
        <f t="shared" si="4"/>
        <v>3.5623249964942754</v>
      </c>
      <c r="S15" s="10" t="s">
        <v>24</v>
      </c>
    </row>
    <row r="16" spans="1:19" x14ac:dyDescent="0.25">
      <c r="A16" s="10" t="s">
        <v>2420</v>
      </c>
      <c r="B16" s="10" t="s">
        <v>2421</v>
      </c>
      <c r="C16" s="10" t="s">
        <v>2405</v>
      </c>
      <c r="D16" s="11">
        <v>45702</v>
      </c>
      <c r="E16" s="12">
        <v>704888</v>
      </c>
      <c r="F16" s="10" t="s">
        <v>22</v>
      </c>
      <c r="G16" s="10" t="s">
        <v>23</v>
      </c>
      <c r="H16" s="12">
        <v>704888</v>
      </c>
      <c r="I16" s="12">
        <v>338520</v>
      </c>
      <c r="J16" s="13">
        <f t="shared" si="0"/>
        <v>48.02465072465413</v>
      </c>
      <c r="K16" s="12">
        <v>677030</v>
      </c>
      <c r="L16" s="12">
        <f>H16-531300</f>
        <v>173588</v>
      </c>
      <c r="M16" s="12">
        <v>145730</v>
      </c>
      <c r="N16" s="12">
        <f t="shared" si="1"/>
        <v>140977.60000000001</v>
      </c>
      <c r="O16" s="14">
        <v>1.0409999999999999</v>
      </c>
      <c r="P16" s="12">
        <f t="shared" si="2"/>
        <v>166751.20076849184</v>
      </c>
      <c r="Q16" s="15">
        <f t="shared" si="3"/>
        <v>3.8280808257229531</v>
      </c>
      <c r="R16" s="15">
        <f t="shared" si="4"/>
        <v>3.2137372326002138</v>
      </c>
      <c r="S16" s="10" t="s">
        <v>24</v>
      </c>
    </row>
    <row r="17" spans="1:19" x14ac:dyDescent="0.25">
      <c r="A17" s="10" t="s">
        <v>2422</v>
      </c>
      <c r="B17" s="10" t="s">
        <v>2423</v>
      </c>
      <c r="C17" s="10" t="s">
        <v>2405</v>
      </c>
      <c r="D17" s="11">
        <v>45139</v>
      </c>
      <c r="E17" s="12">
        <v>725000</v>
      </c>
      <c r="F17" s="10" t="s">
        <v>29</v>
      </c>
      <c r="G17" s="10" t="s">
        <v>23</v>
      </c>
      <c r="H17" s="12">
        <v>725000</v>
      </c>
      <c r="I17" s="12">
        <v>325340</v>
      </c>
      <c r="J17" s="13">
        <f t="shared" si="0"/>
        <v>44.874482758620687</v>
      </c>
      <c r="K17" s="12">
        <v>650673</v>
      </c>
      <c r="L17" s="12">
        <f>H17-523970</f>
        <v>201030</v>
      </c>
      <c r="M17" s="12">
        <v>126703</v>
      </c>
      <c r="N17" s="12">
        <f t="shared" si="1"/>
        <v>145000</v>
      </c>
      <c r="O17" s="14">
        <v>0.81899999999999995</v>
      </c>
      <c r="P17" s="12">
        <f t="shared" si="2"/>
        <v>245457.87545787546</v>
      </c>
      <c r="Q17" s="15">
        <f t="shared" si="3"/>
        <v>5.6349374531192717</v>
      </c>
      <c r="R17" s="15">
        <f t="shared" si="4"/>
        <v>3.5515270363755218</v>
      </c>
      <c r="S17" s="10" t="s">
        <v>24</v>
      </c>
    </row>
    <row r="18" spans="1:19" x14ac:dyDescent="0.25">
      <c r="A18" s="10" t="s">
        <v>2424</v>
      </c>
      <c r="B18" s="10" t="s">
        <v>2425</v>
      </c>
      <c r="C18" s="10" t="s">
        <v>2405</v>
      </c>
      <c r="D18" s="11">
        <v>45121</v>
      </c>
      <c r="E18" s="12">
        <v>875000</v>
      </c>
      <c r="F18" s="10" t="s">
        <v>22</v>
      </c>
      <c r="G18" s="10" t="s">
        <v>23</v>
      </c>
      <c r="H18" s="12">
        <v>875000</v>
      </c>
      <c r="I18" s="12">
        <v>398280</v>
      </c>
      <c r="J18" s="13">
        <f t="shared" si="0"/>
        <v>45.517714285714284</v>
      </c>
      <c r="K18" s="12">
        <v>796554</v>
      </c>
      <c r="L18" s="12">
        <f>H18-640871</f>
        <v>234129</v>
      </c>
      <c r="M18" s="12">
        <v>155683</v>
      </c>
      <c r="N18" s="12">
        <f t="shared" si="1"/>
        <v>175000</v>
      </c>
      <c r="O18" s="14">
        <v>1.498</v>
      </c>
      <c r="P18" s="12">
        <f t="shared" si="2"/>
        <v>156294.39252336448</v>
      </c>
      <c r="Q18" s="15">
        <f t="shared" si="3"/>
        <v>3.5880255400221417</v>
      </c>
      <c r="R18" s="15">
        <f t="shared" si="4"/>
        <v>2.3858410540653532</v>
      </c>
      <c r="S18" s="10" t="s">
        <v>24</v>
      </c>
    </row>
    <row r="19" spans="1:19" x14ac:dyDescent="0.25">
      <c r="A19" s="10" t="s">
        <v>2426</v>
      </c>
      <c r="B19" s="10" t="s">
        <v>2427</v>
      </c>
      <c r="C19" s="10" t="s">
        <v>2405</v>
      </c>
      <c r="D19" s="11">
        <v>45429</v>
      </c>
      <c r="E19" s="12">
        <v>410000</v>
      </c>
      <c r="F19" s="10" t="s">
        <v>29</v>
      </c>
      <c r="G19" s="10" t="s">
        <v>23</v>
      </c>
      <c r="H19" s="12">
        <v>410000</v>
      </c>
      <c r="I19" s="12">
        <v>252040</v>
      </c>
      <c r="J19" s="13">
        <f t="shared" si="0"/>
        <v>61.473170731707313</v>
      </c>
      <c r="K19" s="12">
        <v>504080</v>
      </c>
      <c r="L19" s="12">
        <f>H19-415000</f>
        <v>-5000</v>
      </c>
      <c r="M19" s="12">
        <v>89080</v>
      </c>
      <c r="N19" s="12">
        <f t="shared" si="1"/>
        <v>82000</v>
      </c>
      <c r="O19" s="14">
        <v>0.51500000000000001</v>
      </c>
      <c r="P19" s="12">
        <f t="shared" si="2"/>
        <v>-9708.7378640776697</v>
      </c>
      <c r="Q19" s="15">
        <f t="shared" si="3"/>
        <v>-0.22288195280251766</v>
      </c>
      <c r="R19" s="15">
        <f t="shared" si="4"/>
        <v>3.9708648711296548</v>
      </c>
      <c r="S19" s="10" t="s">
        <v>24</v>
      </c>
    </row>
    <row r="20" spans="1:19" x14ac:dyDescent="0.25">
      <c r="A20" s="10" t="s">
        <v>2428</v>
      </c>
      <c r="B20" s="10" t="s">
        <v>2429</v>
      </c>
      <c r="C20" s="10" t="s">
        <v>2405</v>
      </c>
      <c r="D20" s="11">
        <v>45532</v>
      </c>
      <c r="E20" s="12">
        <v>780000</v>
      </c>
      <c r="F20" s="10" t="s">
        <v>29</v>
      </c>
      <c r="G20" s="10" t="s">
        <v>23</v>
      </c>
      <c r="H20" s="12">
        <v>780000</v>
      </c>
      <c r="I20" s="12">
        <v>242700</v>
      </c>
      <c r="J20" s="13">
        <f t="shared" si="0"/>
        <v>31.115384615384617</v>
      </c>
      <c r="K20" s="12">
        <v>485398</v>
      </c>
      <c r="L20" s="12">
        <f>H20-375932</f>
        <v>404068</v>
      </c>
      <c r="M20" s="12">
        <v>109466</v>
      </c>
      <c r="N20" s="12">
        <f t="shared" si="1"/>
        <v>156000</v>
      </c>
      <c r="O20" s="14">
        <v>0.67100000000000004</v>
      </c>
      <c r="P20" s="12">
        <f t="shared" si="2"/>
        <v>602187.77943368105</v>
      </c>
      <c r="Q20" s="15">
        <f t="shared" si="3"/>
        <v>13.824329188101034</v>
      </c>
      <c r="R20" s="15">
        <f t="shared" si="4"/>
        <v>3.7451469032555602</v>
      </c>
      <c r="S20" s="10" t="s">
        <v>24</v>
      </c>
    </row>
    <row r="21" spans="1:19" x14ac:dyDescent="0.25">
      <c r="A21" s="10" t="s">
        <v>2430</v>
      </c>
      <c r="B21" s="10" t="s">
        <v>2431</v>
      </c>
      <c r="C21" s="10" t="s">
        <v>2405</v>
      </c>
      <c r="D21" s="11">
        <v>45443</v>
      </c>
      <c r="E21" s="12">
        <v>667000</v>
      </c>
      <c r="F21" s="10" t="s">
        <v>22</v>
      </c>
      <c r="G21" s="10" t="s">
        <v>23</v>
      </c>
      <c r="H21" s="12">
        <v>667000</v>
      </c>
      <c r="I21" s="12">
        <v>266270</v>
      </c>
      <c r="J21" s="13">
        <f t="shared" si="0"/>
        <v>39.920539730134934</v>
      </c>
      <c r="K21" s="12">
        <v>532531</v>
      </c>
      <c r="L21" s="12">
        <f>H21-439008</f>
        <v>227992</v>
      </c>
      <c r="M21" s="12">
        <v>93523</v>
      </c>
      <c r="N21" s="12">
        <f t="shared" si="1"/>
        <v>133400</v>
      </c>
      <c r="O21" s="14">
        <v>0.54900000000000004</v>
      </c>
      <c r="P21" s="12">
        <f t="shared" si="2"/>
        <v>415285.97449908924</v>
      </c>
      <c r="Q21" s="15">
        <f t="shared" si="3"/>
        <v>9.5336541436889171</v>
      </c>
      <c r="R21" s="15">
        <f t="shared" si="4"/>
        <v>3.9107334313494273</v>
      </c>
      <c r="S21" s="10" t="s">
        <v>24</v>
      </c>
    </row>
    <row r="22" spans="1:19" x14ac:dyDescent="0.25">
      <c r="A22" s="10" t="s">
        <v>2432</v>
      </c>
      <c r="B22" s="10" t="s">
        <v>2433</v>
      </c>
      <c r="C22" s="10" t="s">
        <v>2405</v>
      </c>
      <c r="D22" s="11">
        <v>45054</v>
      </c>
      <c r="E22" s="12">
        <v>630000</v>
      </c>
      <c r="F22" s="10" t="s">
        <v>29</v>
      </c>
      <c r="G22" s="10" t="s">
        <v>23</v>
      </c>
      <c r="H22" s="12">
        <v>630000</v>
      </c>
      <c r="I22" s="12">
        <v>309840</v>
      </c>
      <c r="J22" s="13">
        <f t="shared" si="0"/>
        <v>49.180952380952384</v>
      </c>
      <c r="K22" s="12">
        <v>619685</v>
      </c>
      <c r="L22" s="12">
        <f>H22-515185</f>
        <v>114815</v>
      </c>
      <c r="M22" s="12">
        <v>104500</v>
      </c>
      <c r="N22" s="12">
        <f t="shared" si="1"/>
        <v>126000</v>
      </c>
      <c r="O22" s="14">
        <v>0.63300000000000001</v>
      </c>
      <c r="P22" s="12">
        <f t="shared" si="2"/>
        <v>181382.3064770932</v>
      </c>
      <c r="Q22" s="15">
        <f t="shared" si="3"/>
        <v>4.1639647951582459</v>
      </c>
      <c r="R22" s="15">
        <f t="shared" si="4"/>
        <v>3.7898734581199038</v>
      </c>
      <c r="S22" s="10" t="s">
        <v>24</v>
      </c>
    </row>
    <row r="23" spans="1:19" x14ac:dyDescent="0.25">
      <c r="A23" s="10" t="s">
        <v>2434</v>
      </c>
      <c r="B23" s="10" t="s">
        <v>2435</v>
      </c>
      <c r="C23" s="10" t="s">
        <v>2405</v>
      </c>
      <c r="D23" s="11">
        <v>45399</v>
      </c>
      <c r="E23" s="12">
        <v>600500</v>
      </c>
      <c r="F23" s="10" t="s">
        <v>29</v>
      </c>
      <c r="G23" s="10" t="s">
        <v>23</v>
      </c>
      <c r="H23" s="12">
        <v>600500</v>
      </c>
      <c r="I23" s="12">
        <v>273800</v>
      </c>
      <c r="J23" s="13">
        <f t="shared" si="0"/>
        <v>45.595337218984177</v>
      </c>
      <c r="K23" s="12">
        <v>547593</v>
      </c>
      <c r="L23" s="12">
        <f>H23-454462</f>
        <v>146038</v>
      </c>
      <c r="M23" s="12">
        <v>93131</v>
      </c>
      <c r="N23" s="12">
        <f t="shared" si="1"/>
        <v>120100</v>
      </c>
      <c r="O23" s="14">
        <v>0.54600000000000004</v>
      </c>
      <c r="P23" s="12">
        <f t="shared" si="2"/>
        <v>267468.86446886446</v>
      </c>
      <c r="Q23" s="15">
        <f t="shared" si="3"/>
        <v>6.1402402311493214</v>
      </c>
      <c r="R23" s="15">
        <f t="shared" si="4"/>
        <v>3.9157391430118698</v>
      </c>
      <c r="S23" s="10" t="s">
        <v>24</v>
      </c>
    </row>
    <row r="24" spans="1:19" x14ac:dyDescent="0.25">
      <c r="A24" s="10" t="s">
        <v>2436</v>
      </c>
      <c r="B24" s="10" t="s">
        <v>2437</v>
      </c>
      <c r="C24" s="10" t="s">
        <v>2405</v>
      </c>
      <c r="D24" s="11">
        <v>45394</v>
      </c>
      <c r="E24" s="12">
        <v>650000</v>
      </c>
      <c r="F24" s="10" t="s">
        <v>29</v>
      </c>
      <c r="G24" s="10" t="s">
        <v>23</v>
      </c>
      <c r="H24" s="12">
        <v>650000</v>
      </c>
      <c r="I24" s="12">
        <v>263910</v>
      </c>
      <c r="J24" s="13">
        <f t="shared" si="0"/>
        <v>40.60153846153846</v>
      </c>
      <c r="K24" s="12">
        <v>527813</v>
      </c>
      <c r="L24" s="12">
        <f>H24-432329</f>
        <v>217671</v>
      </c>
      <c r="M24" s="12">
        <v>95484</v>
      </c>
      <c r="N24" s="12">
        <f t="shared" si="1"/>
        <v>130000</v>
      </c>
      <c r="O24" s="14">
        <v>0.56399999999999995</v>
      </c>
      <c r="P24" s="12">
        <f t="shared" si="2"/>
        <v>385941.48936170217</v>
      </c>
      <c r="Q24" s="15">
        <f t="shared" si="3"/>
        <v>8.8599974600941724</v>
      </c>
      <c r="R24" s="15">
        <f t="shared" si="4"/>
        <v>3.8865443604321754</v>
      </c>
      <c r="S24" s="10" t="s">
        <v>24</v>
      </c>
    </row>
    <row r="25" spans="1:19" x14ac:dyDescent="0.25">
      <c r="A25" s="10" t="s">
        <v>2438</v>
      </c>
      <c r="B25" s="10" t="s">
        <v>2439</v>
      </c>
      <c r="C25" s="10" t="s">
        <v>2405</v>
      </c>
      <c r="D25" s="11">
        <v>45401</v>
      </c>
      <c r="E25" s="12">
        <v>750000</v>
      </c>
      <c r="F25" s="10" t="s">
        <v>29</v>
      </c>
      <c r="G25" s="10" t="s">
        <v>23</v>
      </c>
      <c r="H25" s="12">
        <v>750000</v>
      </c>
      <c r="I25" s="12">
        <v>281930</v>
      </c>
      <c r="J25" s="13">
        <f t="shared" si="0"/>
        <v>37.590666666666664</v>
      </c>
      <c r="K25" s="12">
        <v>563853</v>
      </c>
      <c r="L25" s="12">
        <f>H25-417622</f>
        <v>332378</v>
      </c>
      <c r="M25" s="12">
        <v>146231</v>
      </c>
      <c r="N25" s="12">
        <f t="shared" si="1"/>
        <v>150000</v>
      </c>
      <c r="O25" s="14">
        <v>1.0640000000000001</v>
      </c>
      <c r="P25" s="12">
        <f t="shared" si="2"/>
        <v>312385.33834586467</v>
      </c>
      <c r="Q25" s="15">
        <f t="shared" si="3"/>
        <v>7.171380586452357</v>
      </c>
      <c r="R25" s="15">
        <f t="shared" si="4"/>
        <v>3.1550769140482058</v>
      </c>
      <c r="S25" s="10" t="s">
        <v>24</v>
      </c>
    </row>
    <row r="26" spans="1:19" ht="15.75" thickBot="1" x14ac:dyDescent="0.3">
      <c r="A26" s="16"/>
      <c r="B26" s="16"/>
      <c r="C26" s="16"/>
      <c r="D26" s="17"/>
      <c r="E26" s="18"/>
      <c r="F26" s="16"/>
      <c r="G26" s="16"/>
      <c r="H26" s="18"/>
      <c r="I26" s="18"/>
      <c r="J26" s="19"/>
      <c r="K26" s="18"/>
      <c r="L26" s="18">
        <f>AVERAGE(L7:L25)</f>
        <v>172161.31578947368</v>
      </c>
      <c r="M26" s="18">
        <f>AVERAGE(M7:M25)</f>
        <v>99770.631578947374</v>
      </c>
      <c r="N26" s="18">
        <f>AVERAGE(N7:N25)</f>
        <v>111867.24210526317</v>
      </c>
      <c r="O26" s="20"/>
      <c r="P26" s="18"/>
      <c r="Q26" s="21">
        <f>AVERAGE(Q7:Q25)</f>
        <v>5.4028296913137766</v>
      </c>
      <c r="R26" s="21">
        <f>AVERAGE(R7:R25)</f>
        <v>2.9319088063445276</v>
      </c>
      <c r="S26" s="16"/>
    </row>
    <row r="27" spans="1:19" ht="15.75" thickTop="1" x14ac:dyDescent="0.25">
      <c r="A27" s="10"/>
      <c r="B27" s="10"/>
      <c r="C27" s="10"/>
      <c r="D27" s="11"/>
      <c r="E27" s="12"/>
      <c r="F27" s="10"/>
      <c r="G27" s="10"/>
      <c r="H27" s="12"/>
      <c r="I27" s="12"/>
      <c r="J27" s="13"/>
      <c r="K27" s="12"/>
      <c r="L27" s="12"/>
      <c r="M27" s="12"/>
      <c r="N27" s="12"/>
      <c r="O27" s="14"/>
      <c r="P27" s="12"/>
      <c r="Q27" s="15"/>
      <c r="R27" s="15"/>
      <c r="S27" s="10"/>
    </row>
    <row r="28" spans="1:19" x14ac:dyDescent="0.25">
      <c r="A28" s="10"/>
      <c r="B28" s="10"/>
      <c r="C28" s="10"/>
      <c r="D28" s="11"/>
      <c r="E28" s="12"/>
      <c r="F28" s="10"/>
      <c r="G28" s="10"/>
      <c r="H28" s="12"/>
      <c r="I28" s="12"/>
      <c r="J28" s="13"/>
      <c r="K28" s="12"/>
      <c r="L28" s="12"/>
      <c r="M28" s="12"/>
      <c r="N28" s="12"/>
      <c r="O28" s="14"/>
      <c r="P28" s="12"/>
      <c r="Q28" s="15"/>
      <c r="R28" s="15"/>
      <c r="S28" s="10"/>
    </row>
    <row r="29" spans="1:19" x14ac:dyDescent="0.25">
      <c r="A29" s="10" t="s">
        <v>2440</v>
      </c>
      <c r="B29" s="10" t="s">
        <v>2441</v>
      </c>
      <c r="C29" s="10" t="s">
        <v>2442</v>
      </c>
      <c r="D29" s="11">
        <v>45632</v>
      </c>
      <c r="E29" s="12">
        <v>560000</v>
      </c>
      <c r="F29" s="10" t="s">
        <v>22</v>
      </c>
      <c r="G29" s="10" t="s">
        <v>23</v>
      </c>
      <c r="H29" s="12">
        <v>560000</v>
      </c>
      <c r="I29" s="12">
        <v>279830</v>
      </c>
      <c r="J29" s="13">
        <f>I29/H29*100</f>
        <v>49.969642857142858</v>
      </c>
      <c r="K29" s="12">
        <v>559652</v>
      </c>
      <c r="L29" s="12">
        <f>H29-411156</f>
        <v>148844</v>
      </c>
      <c r="M29" s="12">
        <v>148496</v>
      </c>
      <c r="N29" s="12">
        <f>E29*0.2</f>
        <v>112000</v>
      </c>
      <c r="O29" s="14">
        <v>0.48699999999999999</v>
      </c>
      <c r="P29" s="12">
        <f>L29/O29</f>
        <v>305634.49691991787</v>
      </c>
      <c r="Q29" s="15">
        <f>L29/O29/43560</f>
        <v>7.0164025922846163</v>
      </c>
      <c r="R29" s="15">
        <f>M29/O29/43560</f>
        <v>6.9999981144278323</v>
      </c>
      <c r="S29" s="10" t="s">
        <v>24</v>
      </c>
    </row>
    <row r="30" spans="1:19" x14ac:dyDescent="0.25">
      <c r="A30" s="10" t="s">
        <v>2443</v>
      </c>
      <c r="B30" s="10" t="s">
        <v>2444</v>
      </c>
      <c r="C30" s="10" t="s">
        <v>2442</v>
      </c>
      <c r="D30" s="11">
        <v>45194</v>
      </c>
      <c r="E30" s="12">
        <v>562000</v>
      </c>
      <c r="F30" s="10" t="s">
        <v>29</v>
      </c>
      <c r="G30" s="10" t="s">
        <v>23</v>
      </c>
      <c r="H30" s="12">
        <v>562000</v>
      </c>
      <c r="I30" s="12">
        <v>173190</v>
      </c>
      <c r="J30" s="13">
        <f>I30/H30*100</f>
        <v>30.816725978647685</v>
      </c>
      <c r="K30" s="12">
        <v>346373</v>
      </c>
      <c r="L30" s="12">
        <f>H30-166252</f>
        <v>395748</v>
      </c>
      <c r="M30" s="12">
        <v>180121</v>
      </c>
      <c r="N30" s="12">
        <f>E30*0.2</f>
        <v>112400</v>
      </c>
      <c r="O30" s="14">
        <v>0.627</v>
      </c>
      <c r="P30" s="12">
        <f>L30/O30</f>
        <v>631177.03349282301</v>
      </c>
      <c r="Q30" s="15">
        <f>L30/O30/43560</f>
        <v>14.489830888264992</v>
      </c>
      <c r="R30" s="15">
        <f>M30/O30/43560</f>
        <v>6.594910977251125</v>
      </c>
      <c r="S30" s="10" t="s">
        <v>24</v>
      </c>
    </row>
    <row r="31" spans="1:19" x14ac:dyDescent="0.25">
      <c r="A31" s="10" t="s">
        <v>2445</v>
      </c>
      <c r="B31" s="10" t="s">
        <v>2446</v>
      </c>
      <c r="C31" s="10" t="s">
        <v>2442</v>
      </c>
      <c r="D31" s="11">
        <v>45400</v>
      </c>
      <c r="E31" s="12">
        <v>600000</v>
      </c>
      <c r="F31" s="10" t="s">
        <v>29</v>
      </c>
      <c r="G31" s="10" t="s">
        <v>23</v>
      </c>
      <c r="H31" s="12">
        <v>600000</v>
      </c>
      <c r="I31" s="12">
        <v>180150</v>
      </c>
      <c r="J31" s="13">
        <f>I31/H31*100</f>
        <v>30.025000000000002</v>
      </c>
      <c r="K31" s="12">
        <v>360295</v>
      </c>
      <c r="L31" s="12">
        <f>H31-176907</f>
        <v>423093</v>
      </c>
      <c r="M31" s="12">
        <v>183388</v>
      </c>
      <c r="N31" s="12">
        <f>E31*0.2</f>
        <v>120000</v>
      </c>
      <c r="O31" s="14">
        <v>0.64200000000000002</v>
      </c>
      <c r="P31" s="12">
        <f>L31/O31</f>
        <v>659023.36448598129</v>
      </c>
      <c r="Q31" s="15">
        <f>L31/O31/43560</f>
        <v>15.12909468516945</v>
      </c>
      <c r="R31" s="15">
        <f>M31/O31/43560</f>
        <v>6.5576467020817057</v>
      </c>
      <c r="S31" s="10" t="s">
        <v>24</v>
      </c>
    </row>
    <row r="32" spans="1:19" x14ac:dyDescent="0.25">
      <c r="A32" s="10" t="s">
        <v>2447</v>
      </c>
      <c r="B32" s="10" t="s">
        <v>2448</v>
      </c>
      <c r="C32" s="10" t="s">
        <v>2442</v>
      </c>
      <c r="D32" s="11">
        <v>45443</v>
      </c>
      <c r="E32" s="12">
        <v>540000</v>
      </c>
      <c r="F32" s="10" t="s">
        <v>29</v>
      </c>
      <c r="G32" s="10" t="s">
        <v>23</v>
      </c>
      <c r="H32" s="12">
        <v>540000</v>
      </c>
      <c r="I32" s="12">
        <v>81400</v>
      </c>
      <c r="J32" s="13">
        <f>I32/H32*100</f>
        <v>15.074074074074073</v>
      </c>
      <c r="K32" s="12">
        <v>162796</v>
      </c>
      <c r="L32" s="12">
        <f>H32-0</f>
        <v>540000</v>
      </c>
      <c r="M32" s="12">
        <v>162796</v>
      </c>
      <c r="N32" s="12">
        <f>E32*0.2</f>
        <v>108000</v>
      </c>
      <c r="O32" s="14">
        <v>0.67900000000000005</v>
      </c>
      <c r="P32" s="12">
        <f>L32/O32</f>
        <v>795287.18703976425</v>
      </c>
      <c r="Q32" s="15">
        <f>L32/O32/43560</f>
        <v>18.257281612483109</v>
      </c>
      <c r="R32" s="15">
        <f>M32/O32/43560</f>
        <v>5.504097069232964</v>
      </c>
      <c r="S32" s="10" t="s">
        <v>24</v>
      </c>
    </row>
    <row r="33" spans="1:19" ht="15.75" thickBot="1" x14ac:dyDescent="0.3">
      <c r="A33" s="16"/>
      <c r="B33" s="16"/>
      <c r="C33" s="16"/>
      <c r="D33" s="17"/>
      <c r="E33" s="18"/>
      <c r="F33" s="16"/>
      <c r="G33" s="16"/>
      <c r="H33" s="18"/>
      <c r="I33" s="18"/>
      <c r="J33" s="19"/>
      <c r="K33" s="18"/>
      <c r="L33" s="18">
        <f>AVERAGE(L29:L32)</f>
        <v>376921.25</v>
      </c>
      <c r="M33" s="18">
        <f>AVERAGE(M29:M32)</f>
        <v>168700.25</v>
      </c>
      <c r="N33" s="18">
        <f>AVERAGE(N29:N32)</f>
        <v>113100</v>
      </c>
      <c r="O33" s="20"/>
      <c r="P33" s="18"/>
      <c r="Q33" s="21">
        <f>AVERAGE(Q29:Q32)</f>
        <v>13.723152444550543</v>
      </c>
      <c r="R33" s="21">
        <f>AVERAGE(R29:R32)</f>
        <v>6.4141632157484061</v>
      </c>
      <c r="S33" s="16"/>
    </row>
    <row r="34" spans="1:19" ht="15.75" thickTop="1" x14ac:dyDescent="0.25">
      <c r="A34" s="10"/>
      <c r="B34" s="10"/>
      <c r="C34" s="10"/>
      <c r="D34" s="11"/>
      <c r="E34" s="12"/>
      <c r="F34" s="10"/>
      <c r="G34" s="10"/>
      <c r="H34" s="12"/>
      <c r="I34" s="12"/>
      <c r="J34" s="13"/>
      <c r="K34" s="12"/>
      <c r="L34" s="12"/>
      <c r="M34" s="12"/>
      <c r="N34" s="12"/>
      <c r="O34" s="14"/>
      <c r="P34" s="12"/>
      <c r="Q34" s="15"/>
      <c r="R34" s="15"/>
      <c r="S34" s="10"/>
    </row>
    <row r="35" spans="1:19" x14ac:dyDescent="0.25">
      <c r="A35" s="10"/>
      <c r="B35" s="10"/>
      <c r="C35" s="10"/>
      <c r="D35" s="11"/>
      <c r="E35" s="12"/>
      <c r="F35" s="10"/>
      <c r="G35" s="10"/>
      <c r="H35" s="12"/>
      <c r="I35" s="12"/>
      <c r="J35" s="13"/>
      <c r="K35" s="12"/>
      <c r="L35" s="12"/>
      <c r="M35" s="12"/>
      <c r="N35" s="12"/>
      <c r="O35" s="14"/>
      <c r="P35" s="12"/>
      <c r="Q35" s="15"/>
      <c r="R35" s="15"/>
      <c r="S35" s="10"/>
    </row>
    <row r="36" spans="1:19" x14ac:dyDescent="0.25">
      <c r="A36" s="10" t="s">
        <v>2449</v>
      </c>
      <c r="B36" s="10" t="s">
        <v>2450</v>
      </c>
      <c r="C36" s="10" t="s">
        <v>2451</v>
      </c>
      <c r="D36" s="11">
        <v>45526</v>
      </c>
      <c r="E36" s="12">
        <v>1125000</v>
      </c>
      <c r="F36" s="10" t="s">
        <v>29</v>
      </c>
      <c r="G36" s="10" t="s">
        <v>23</v>
      </c>
      <c r="H36" s="12">
        <v>1125000</v>
      </c>
      <c r="I36" s="12">
        <v>483250</v>
      </c>
      <c r="J36" s="13">
        <f>I36/H36*100</f>
        <v>42.955555555555556</v>
      </c>
      <c r="K36" s="12">
        <v>966494</v>
      </c>
      <c r="L36" s="12">
        <f>H36-737042</f>
        <v>387958</v>
      </c>
      <c r="M36" s="12">
        <v>229452</v>
      </c>
      <c r="N36" s="12">
        <f>E36*0.2</f>
        <v>225000</v>
      </c>
      <c r="O36" s="14">
        <v>0.50700000000000001</v>
      </c>
      <c r="P36" s="12">
        <f>L36/O36</f>
        <v>765203.15581854037</v>
      </c>
      <c r="Q36" s="15">
        <f>L36/O36/43560</f>
        <v>17.566647286927005</v>
      </c>
      <c r="R36" s="15">
        <f>M36/O36/43560</f>
        <v>10.389532767155144</v>
      </c>
      <c r="S36" s="10" t="s">
        <v>24</v>
      </c>
    </row>
    <row r="37" spans="1:19" x14ac:dyDescent="0.25">
      <c r="A37" s="10" t="s">
        <v>2452</v>
      </c>
      <c r="B37" s="10" t="s">
        <v>2453</v>
      </c>
      <c r="C37" s="10" t="s">
        <v>2451</v>
      </c>
      <c r="D37" s="11">
        <v>45454</v>
      </c>
      <c r="E37" s="12">
        <v>1125000</v>
      </c>
      <c r="F37" s="10" t="s">
        <v>29</v>
      </c>
      <c r="G37" s="10" t="s">
        <v>23</v>
      </c>
      <c r="H37" s="12">
        <v>1125000</v>
      </c>
      <c r="I37" s="12">
        <v>467510</v>
      </c>
      <c r="J37" s="13">
        <f>I37/H37*100</f>
        <v>41.556444444444445</v>
      </c>
      <c r="K37" s="12">
        <v>935018</v>
      </c>
      <c r="L37" s="12">
        <f>H37-691300</f>
        <v>433700</v>
      </c>
      <c r="M37" s="12">
        <v>243718</v>
      </c>
      <c r="N37" s="12">
        <f>E37*0.2</f>
        <v>225000</v>
      </c>
      <c r="O37" s="14">
        <v>0.63800000000000001</v>
      </c>
      <c r="P37" s="12">
        <f>L37/O37</f>
        <v>679780.56426332286</v>
      </c>
      <c r="Q37" s="15">
        <f>L37/O37/43560</f>
        <v>15.605614422941295</v>
      </c>
      <c r="R37" s="15">
        <f>M37/O37/43560</f>
        <v>8.769585279987103</v>
      </c>
      <c r="S37" s="10" t="s">
        <v>24</v>
      </c>
    </row>
    <row r="38" spans="1:19" x14ac:dyDescent="0.25">
      <c r="A38" s="10" t="s">
        <v>2454</v>
      </c>
      <c r="B38" s="10" t="s">
        <v>2455</v>
      </c>
      <c r="C38" s="10" t="s">
        <v>2451</v>
      </c>
      <c r="D38" s="11">
        <v>45540</v>
      </c>
      <c r="E38" s="12">
        <v>1623000</v>
      </c>
      <c r="F38" s="10" t="s">
        <v>22</v>
      </c>
      <c r="G38" s="10" t="s">
        <v>23</v>
      </c>
      <c r="H38" s="12">
        <v>1623000</v>
      </c>
      <c r="I38" s="12">
        <v>497700</v>
      </c>
      <c r="J38" s="13">
        <f>I38/H38*100</f>
        <v>30.66543438077634</v>
      </c>
      <c r="K38" s="12">
        <v>995394</v>
      </c>
      <c r="L38" s="12">
        <f>H38-765833</f>
        <v>857167</v>
      </c>
      <c r="M38" s="12">
        <v>229561</v>
      </c>
      <c r="N38" s="12">
        <f>E38*0.2</f>
        <v>324600</v>
      </c>
      <c r="O38" s="14">
        <v>0.50800000000000001</v>
      </c>
      <c r="P38" s="12">
        <f>L38/O38</f>
        <v>1687336.6141732284</v>
      </c>
      <c r="Q38" s="15">
        <f>L38/O38/43560</f>
        <v>38.735918599018099</v>
      </c>
      <c r="R38" s="15">
        <f>M38/O38/43560</f>
        <v>10.374006709905064</v>
      </c>
      <c r="S38" s="10" t="s">
        <v>24</v>
      </c>
    </row>
    <row r="39" spans="1:19" x14ac:dyDescent="0.25">
      <c r="A39" s="10" t="s">
        <v>2456</v>
      </c>
      <c r="B39" s="10" t="s">
        <v>630</v>
      </c>
      <c r="C39" s="10" t="s">
        <v>2457</v>
      </c>
      <c r="D39" s="11">
        <v>45267</v>
      </c>
      <c r="E39" s="12">
        <v>477000</v>
      </c>
      <c r="F39" s="10" t="s">
        <v>29</v>
      </c>
      <c r="G39" s="10" t="s">
        <v>23</v>
      </c>
      <c r="H39" s="12">
        <v>477000</v>
      </c>
      <c r="I39" s="12">
        <v>4280</v>
      </c>
      <c r="J39" s="13">
        <f>I39/H39*100</f>
        <v>0.89727463312368971</v>
      </c>
      <c r="K39" s="12">
        <v>8555</v>
      </c>
      <c r="L39" s="12">
        <f>H39-0</f>
        <v>477000</v>
      </c>
      <c r="M39" s="12">
        <v>8555</v>
      </c>
      <c r="N39" s="12">
        <f>E39*0.2</f>
        <v>95400</v>
      </c>
      <c r="O39" s="14">
        <v>0.60899999999999999</v>
      </c>
      <c r="P39" s="12">
        <f>L39/O39</f>
        <v>783251.23152709357</v>
      </c>
      <c r="Q39" s="15">
        <f>L39/O39/43560</f>
        <v>17.980974093826756</v>
      </c>
      <c r="R39" s="15">
        <f>M39/O39/43560</f>
        <v>0.32248895885259521</v>
      </c>
      <c r="S39" s="10" t="s">
        <v>504</v>
      </c>
    </row>
    <row r="40" spans="1:19" ht="15.75" thickBot="1" x14ac:dyDescent="0.3">
      <c r="A40" s="16"/>
      <c r="B40" s="16"/>
      <c r="C40" s="16"/>
      <c r="D40" s="17"/>
      <c r="E40" s="18"/>
      <c r="F40" s="16"/>
      <c r="G40" s="16"/>
      <c r="H40" s="18"/>
      <c r="I40" s="18"/>
      <c r="J40" s="19"/>
      <c r="K40" s="18"/>
      <c r="L40" s="18">
        <f>AVERAGE(L36:L39)</f>
        <v>538956.25</v>
      </c>
      <c r="M40" s="18">
        <f>AVERAGE(M36:M39)</f>
        <v>177821.5</v>
      </c>
      <c r="N40" s="18">
        <f>AVERAGE(N36:N39)</f>
        <v>217500</v>
      </c>
      <c r="O40" s="20"/>
      <c r="P40" s="18"/>
      <c r="Q40" s="21">
        <f>AVERAGE(Q36:Q39)</f>
        <v>22.47228860067829</v>
      </c>
      <c r="R40" s="21">
        <f>AVERAGE(R36:R39)</f>
        <v>7.4639034289749766</v>
      </c>
      <c r="S40" s="16"/>
    </row>
    <row r="41" spans="1:19" ht="15.75" thickTop="1" x14ac:dyDescent="0.25">
      <c r="A41" s="10"/>
      <c r="B41" s="10"/>
      <c r="C41" s="10"/>
      <c r="D41" s="11"/>
      <c r="E41" s="12"/>
      <c r="F41" s="10"/>
      <c r="G41" s="10"/>
      <c r="H41" s="12"/>
      <c r="I41" s="12"/>
      <c r="J41" s="13"/>
      <c r="K41" s="12"/>
      <c r="L41" s="12"/>
      <c r="M41" s="12"/>
      <c r="N41" s="12"/>
      <c r="O41" s="14"/>
      <c r="P41" s="12"/>
      <c r="Q41" s="15"/>
      <c r="R41" s="15"/>
      <c r="S41" s="10"/>
    </row>
    <row r="42" spans="1:19" x14ac:dyDescent="0.25">
      <c r="A42" s="10"/>
      <c r="B42" s="10"/>
      <c r="C42" s="10"/>
      <c r="D42" s="11"/>
      <c r="E42" s="12"/>
      <c r="F42" s="10"/>
      <c r="G42" s="10"/>
      <c r="H42" s="12"/>
      <c r="I42" s="12"/>
      <c r="J42" s="13"/>
      <c r="K42" s="12"/>
      <c r="L42" s="12"/>
      <c r="M42" s="12"/>
      <c r="N42" s="12"/>
      <c r="O42" s="14"/>
      <c r="P42" s="12"/>
      <c r="Q42" s="15"/>
      <c r="R42" s="15"/>
      <c r="S42" s="10"/>
    </row>
    <row r="43" spans="1:19" x14ac:dyDescent="0.25">
      <c r="A43" s="10" t="s">
        <v>2458</v>
      </c>
      <c r="B43" s="10" t="s">
        <v>2459</v>
      </c>
      <c r="C43" s="10" t="s">
        <v>2457</v>
      </c>
      <c r="D43" s="11">
        <v>45450</v>
      </c>
      <c r="E43" s="12">
        <v>655000</v>
      </c>
      <c r="F43" s="10" t="s">
        <v>22</v>
      </c>
      <c r="G43" s="10" t="s">
        <v>23</v>
      </c>
      <c r="H43" s="12">
        <v>655000</v>
      </c>
      <c r="I43" s="12">
        <v>289580</v>
      </c>
      <c r="J43" s="13">
        <f>I43/H43*100</f>
        <v>44.210687022900764</v>
      </c>
      <c r="K43" s="12">
        <v>579162</v>
      </c>
      <c r="L43" s="12">
        <f>H43-472009</f>
        <v>182991</v>
      </c>
      <c r="M43" s="12">
        <v>107153</v>
      </c>
      <c r="N43" s="12">
        <f>E43*0.2</f>
        <v>131000</v>
      </c>
      <c r="O43" s="14">
        <v>0.53</v>
      </c>
      <c r="P43" s="12">
        <f>L43/O43</f>
        <v>345266.03773584904</v>
      </c>
      <c r="Q43" s="15">
        <f>L43/O43/43560</f>
        <v>7.9262175788762406</v>
      </c>
      <c r="R43" s="15">
        <f>M43/O43/43560</f>
        <v>4.6413101859070984</v>
      </c>
      <c r="S43" s="10" t="s">
        <v>24</v>
      </c>
    </row>
    <row r="44" spans="1:19" ht="15.75" thickBot="1" x14ac:dyDescent="0.3">
      <c r="A44" s="16"/>
      <c r="B44" s="16"/>
      <c r="C44" s="16"/>
      <c r="D44" s="17"/>
      <c r="E44" s="18"/>
      <c r="F44" s="16"/>
      <c r="G44" s="16"/>
      <c r="H44" s="18"/>
      <c r="I44" s="18"/>
      <c r="J44" s="19"/>
      <c r="K44" s="18"/>
      <c r="L44" s="18">
        <f>AVERAGE(L43)</f>
        <v>182991</v>
      </c>
      <c r="M44" s="18">
        <f>AVERAGE(M43)</f>
        <v>107153</v>
      </c>
      <c r="N44" s="18">
        <f>AVERAGE(N43)</f>
        <v>131000</v>
      </c>
      <c r="O44" s="20"/>
      <c r="P44" s="18"/>
      <c r="Q44" s="21">
        <f>AVERAGE(Q43)</f>
        <v>7.9262175788762406</v>
      </c>
      <c r="R44" s="21">
        <f>AVERAGE(R43)</f>
        <v>4.6413101859070984</v>
      </c>
      <c r="S44" s="16"/>
    </row>
    <row r="45" spans="1:19" ht="15.75" thickTop="1" x14ac:dyDescent="0.25">
      <c r="A45" s="10"/>
      <c r="B45" s="10"/>
      <c r="C45" s="10"/>
      <c r="D45" s="11"/>
      <c r="E45" s="12"/>
      <c r="F45" s="10"/>
      <c r="G45" s="10"/>
      <c r="H45" s="12"/>
      <c r="I45" s="12"/>
      <c r="J45" s="13"/>
      <c r="K45" s="12"/>
      <c r="L45" s="12"/>
      <c r="M45" s="12"/>
      <c r="N45" s="12"/>
      <c r="O45" s="14"/>
      <c r="P45" s="12"/>
      <c r="Q45" s="15"/>
      <c r="R45" s="15"/>
      <c r="S45" s="10"/>
    </row>
    <row r="46" spans="1:19" x14ac:dyDescent="0.25">
      <c r="A46" s="10"/>
      <c r="B46" s="10"/>
      <c r="C46" s="10"/>
      <c r="D46" s="11"/>
      <c r="E46" s="12"/>
      <c r="F46" s="10"/>
      <c r="G46" s="10"/>
      <c r="H46" s="12"/>
      <c r="I46" s="12"/>
      <c r="J46" s="13"/>
      <c r="K46" s="12"/>
      <c r="L46" s="12"/>
      <c r="M46" s="12"/>
      <c r="N46" s="12"/>
      <c r="O46" s="14"/>
      <c r="P46" s="12"/>
      <c r="Q46" s="15"/>
      <c r="R46" s="15"/>
      <c r="S46" s="10"/>
    </row>
    <row r="47" spans="1:19" x14ac:dyDescent="0.25">
      <c r="A47" s="10"/>
      <c r="B47" s="10"/>
      <c r="C47" s="10"/>
      <c r="D47" s="11"/>
      <c r="E47" s="12"/>
      <c r="F47" s="10"/>
      <c r="G47" s="10"/>
      <c r="H47" s="12"/>
      <c r="I47" s="12"/>
      <c r="J47" s="13"/>
      <c r="K47" s="12"/>
      <c r="L47" s="12"/>
      <c r="M47" s="12"/>
      <c r="N47" s="12"/>
      <c r="O47" s="14"/>
      <c r="P47" s="12"/>
      <c r="Q47" s="15"/>
      <c r="R47" s="15"/>
      <c r="S47" s="10"/>
    </row>
    <row r="48" spans="1:19" x14ac:dyDescent="0.25">
      <c r="A48" s="10"/>
      <c r="B48" s="10"/>
      <c r="C48" s="10"/>
      <c r="D48" s="11"/>
      <c r="E48" s="12"/>
      <c r="F48" s="10"/>
      <c r="G48" s="10"/>
      <c r="H48" s="12"/>
      <c r="I48" s="12"/>
      <c r="J48" s="13"/>
      <c r="K48" s="12"/>
      <c r="L48" s="12"/>
      <c r="M48" s="12"/>
      <c r="N48" s="12"/>
      <c r="O48" s="14"/>
      <c r="P48" s="12"/>
      <c r="Q48" s="15"/>
      <c r="R48" s="15"/>
      <c r="S48" s="10"/>
    </row>
    <row r="49" spans="1:19" x14ac:dyDescent="0.25">
      <c r="A49" s="10" t="s">
        <v>2460</v>
      </c>
      <c r="B49" s="10" t="s">
        <v>2461</v>
      </c>
      <c r="C49" s="10" t="s">
        <v>2462</v>
      </c>
      <c r="D49" s="11">
        <v>45022</v>
      </c>
      <c r="E49" s="12">
        <v>1277900</v>
      </c>
      <c r="F49" s="10" t="s">
        <v>22</v>
      </c>
      <c r="G49" s="10" t="s">
        <v>23</v>
      </c>
      <c r="H49" s="12">
        <v>1277900</v>
      </c>
      <c r="I49" s="12">
        <v>657470</v>
      </c>
      <c r="J49" s="13">
        <f>I49/H49*100</f>
        <v>51.449252680178418</v>
      </c>
      <c r="K49" s="12">
        <v>1314946</v>
      </c>
      <c r="L49" s="12">
        <f>H49-1079946</f>
        <v>197954</v>
      </c>
      <c r="M49" s="12">
        <v>235000</v>
      </c>
      <c r="N49" s="12">
        <f>E49*0.2</f>
        <v>255580</v>
      </c>
      <c r="O49" s="14">
        <v>0.24199999999999999</v>
      </c>
      <c r="P49" s="12">
        <f>L49/O49</f>
        <v>817991.73553719011</v>
      </c>
      <c r="Q49" s="15">
        <f>L49/O49/43560</f>
        <v>18.7785063254635</v>
      </c>
      <c r="R49" s="15">
        <f>M49/O49/43560</f>
        <v>22.292800279276612</v>
      </c>
      <c r="S49" s="10" t="s">
        <v>97</v>
      </c>
    </row>
    <row r="50" spans="1:19" x14ac:dyDescent="0.25">
      <c r="A50" s="10" t="s">
        <v>2463</v>
      </c>
      <c r="B50" s="10" t="s">
        <v>2464</v>
      </c>
      <c r="C50" s="10" t="s">
        <v>2462</v>
      </c>
      <c r="D50" s="11">
        <v>45383</v>
      </c>
      <c r="E50" s="12">
        <v>1408000</v>
      </c>
      <c r="F50" s="10" t="s">
        <v>29</v>
      </c>
      <c r="G50" s="10" t="s">
        <v>23</v>
      </c>
      <c r="H50" s="12">
        <v>1408000</v>
      </c>
      <c r="I50" s="12">
        <v>632910</v>
      </c>
      <c r="J50" s="13">
        <f>I50/H50*100</f>
        <v>44.95099431818182</v>
      </c>
      <c r="K50" s="12">
        <v>1265823</v>
      </c>
      <c r="L50" s="12">
        <f>H50-1020823</f>
        <v>387177</v>
      </c>
      <c r="M50" s="12">
        <v>245000</v>
      </c>
      <c r="N50" s="12">
        <f>E50*0.2</f>
        <v>281600</v>
      </c>
      <c r="O50" s="14">
        <v>0.28000000000000003</v>
      </c>
      <c r="P50" s="12">
        <f>L50/O50</f>
        <v>1382774.9999999998</v>
      </c>
      <c r="Q50" s="15">
        <f>L50/O50/43560</f>
        <v>31.744146005509638</v>
      </c>
      <c r="R50" s="15">
        <f>M50/O50/43560</f>
        <v>20.087235996326903</v>
      </c>
      <c r="S50" s="10" t="s">
        <v>97</v>
      </c>
    </row>
    <row r="51" spans="1:19" ht="15.75" thickBot="1" x14ac:dyDescent="0.3">
      <c r="A51" s="16"/>
      <c r="B51" s="16"/>
      <c r="C51" s="16"/>
      <c r="D51" s="17"/>
      <c r="E51" s="18"/>
      <c r="F51" s="16"/>
      <c r="G51" s="16"/>
      <c r="H51" s="18"/>
      <c r="I51" s="18"/>
      <c r="J51" s="19"/>
      <c r="K51" s="18"/>
      <c r="L51" s="18">
        <f>AVERAGE(L49:L50)</f>
        <v>292565.5</v>
      </c>
      <c r="M51" s="18">
        <f>AVERAGE(M49:M50)</f>
        <v>240000</v>
      </c>
      <c r="N51" s="18">
        <f>AVERAGE(N49:N50)</f>
        <v>268590</v>
      </c>
      <c r="O51" s="20"/>
      <c r="P51" s="18"/>
      <c r="Q51" s="21">
        <f>AVERAGE(Q49:Q50)</f>
        <v>25.261326165486569</v>
      </c>
      <c r="R51" s="21">
        <f>AVERAGE(R49:R50)</f>
        <v>21.190018137801758</v>
      </c>
      <c r="S51" s="16"/>
    </row>
    <row r="52" spans="1:19" ht="15.75" thickTop="1" x14ac:dyDescent="0.25"/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EB42F-0EA4-46F5-B2EB-B1E5DEFBC443}">
  <dimension ref="A1:S81"/>
  <sheetViews>
    <sheetView workbookViewId="0">
      <selection activeCell="P13" sqref="P13"/>
    </sheetView>
  </sheetViews>
  <sheetFormatPr defaultRowHeight="15" x14ac:dyDescent="0.25"/>
  <cols>
    <col min="1" max="1" width="12.42578125" bestFit="1" customWidth="1"/>
    <col min="2" max="2" width="20.140625" bestFit="1" customWidth="1"/>
    <col min="3" max="3" width="12.5703125" bestFit="1" customWidth="1"/>
    <col min="7" max="7" width="13.140625" bestFit="1" customWidth="1"/>
    <col min="13" max="13" width="10.8554687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180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2465</v>
      </c>
      <c r="B2" s="10" t="s">
        <v>2466</v>
      </c>
      <c r="C2" s="10" t="s">
        <v>2467</v>
      </c>
      <c r="D2" s="11">
        <v>45699</v>
      </c>
      <c r="E2" s="12">
        <v>522000</v>
      </c>
      <c r="F2" s="10" t="s">
        <v>22</v>
      </c>
      <c r="G2" s="10" t="s">
        <v>23</v>
      </c>
      <c r="H2" s="12">
        <v>522000</v>
      </c>
      <c r="I2" s="12">
        <v>234860</v>
      </c>
      <c r="J2" s="13">
        <f>I2/H2*100</f>
        <v>44.992337164750957</v>
      </c>
      <c r="K2" s="12">
        <v>469715</v>
      </c>
      <c r="L2" s="12">
        <f>H2-325531</f>
        <v>196469</v>
      </c>
      <c r="M2" s="12">
        <v>144184</v>
      </c>
      <c r="N2" s="12">
        <f>E2*0.2</f>
        <v>104400</v>
      </c>
      <c r="O2" s="14">
        <v>0.33100000000000002</v>
      </c>
      <c r="P2" s="12">
        <f>L2/O2</f>
        <v>593561.93353474315</v>
      </c>
      <c r="Q2" s="15">
        <f>L2/O2/43560</f>
        <v>13.626307014112561</v>
      </c>
      <c r="R2" s="15">
        <f>M2/O2/43560</f>
        <v>10.000027742406209</v>
      </c>
      <c r="S2" s="10" t="s">
        <v>24</v>
      </c>
    </row>
    <row r="3" spans="1:19" x14ac:dyDescent="0.25">
      <c r="A3" s="10" t="s">
        <v>2468</v>
      </c>
      <c r="B3" s="10" t="s">
        <v>2469</v>
      </c>
      <c r="C3" s="10" t="s">
        <v>2467</v>
      </c>
      <c r="D3" s="11">
        <v>45147</v>
      </c>
      <c r="E3" s="12">
        <v>544000</v>
      </c>
      <c r="F3" s="10" t="s">
        <v>22</v>
      </c>
      <c r="G3" s="10" t="s">
        <v>23</v>
      </c>
      <c r="H3" s="12">
        <v>544000</v>
      </c>
      <c r="I3" s="12">
        <v>281230</v>
      </c>
      <c r="J3" s="13">
        <f>I3/H3*100</f>
        <v>51.696691176470587</v>
      </c>
      <c r="K3" s="12">
        <v>562466</v>
      </c>
      <c r="L3" s="12">
        <f>H3-418282</f>
        <v>125718</v>
      </c>
      <c r="M3" s="12">
        <v>144184</v>
      </c>
      <c r="N3" s="12">
        <f>E3*0.2</f>
        <v>108800</v>
      </c>
      <c r="O3" s="14">
        <v>0.33100000000000002</v>
      </c>
      <c r="P3" s="12">
        <f>L3/O3</f>
        <v>379812.68882175226</v>
      </c>
      <c r="Q3" s="15">
        <f>L3/O3/43560</f>
        <v>8.7192995597280127</v>
      </c>
      <c r="R3" s="15">
        <f>M3/O3/43560</f>
        <v>10.000027742406209</v>
      </c>
      <c r="S3" s="10" t="s">
        <v>24</v>
      </c>
    </row>
    <row r="4" spans="1:19" x14ac:dyDescent="0.25">
      <c r="A4" s="10" t="s">
        <v>2470</v>
      </c>
      <c r="B4" s="10" t="s">
        <v>2471</v>
      </c>
      <c r="C4" s="10" t="s">
        <v>2467</v>
      </c>
      <c r="D4" s="11">
        <v>45021</v>
      </c>
      <c r="E4" s="12">
        <v>500000</v>
      </c>
      <c r="F4" s="10" t="s">
        <v>29</v>
      </c>
      <c r="G4" s="10" t="s">
        <v>23</v>
      </c>
      <c r="H4" s="12">
        <v>500000</v>
      </c>
      <c r="I4" s="12">
        <v>234600</v>
      </c>
      <c r="J4" s="13">
        <f>I4/H4*100</f>
        <v>46.92</v>
      </c>
      <c r="K4" s="12">
        <v>469200</v>
      </c>
      <c r="L4" s="12">
        <f>H4-327630</f>
        <v>172370</v>
      </c>
      <c r="M4" s="12">
        <v>141570</v>
      </c>
      <c r="N4" s="12">
        <f>E4*0.2</f>
        <v>100000</v>
      </c>
      <c r="O4" s="14">
        <v>0.32500000000000001</v>
      </c>
      <c r="P4" s="12">
        <f>L4/O4</f>
        <v>530369.23076923075</v>
      </c>
      <c r="Q4" s="15">
        <f>L4/O4/43560</f>
        <v>12.175602175602176</v>
      </c>
      <c r="R4" s="15">
        <f>M4/O4/43560</f>
        <v>10</v>
      </c>
      <c r="S4" s="10" t="s">
        <v>24</v>
      </c>
    </row>
    <row r="5" spans="1:19" ht="15.75" thickBot="1" x14ac:dyDescent="0.3">
      <c r="A5" s="16"/>
      <c r="B5" s="16"/>
      <c r="C5" s="16"/>
      <c r="D5" s="17"/>
      <c r="E5" s="18"/>
      <c r="F5" s="16"/>
      <c r="G5" s="16"/>
      <c r="H5" s="18"/>
      <c r="I5" s="18"/>
      <c r="J5" s="19"/>
      <c r="K5" s="18"/>
      <c r="L5" s="18">
        <f>AVERAGE(L2:L4)</f>
        <v>164852.33333333334</v>
      </c>
      <c r="M5" s="18">
        <f>AVERAGE(M2:M4)</f>
        <v>143312.66666666666</v>
      </c>
      <c r="N5" s="18">
        <f>AVERAGE(N2:N4)</f>
        <v>104400</v>
      </c>
      <c r="O5" s="20"/>
      <c r="P5" s="18"/>
      <c r="Q5" s="21">
        <f>AVERAGE(Q2:Q4)</f>
        <v>11.507069583147583</v>
      </c>
      <c r="R5" s="21">
        <f>AVERAGE(R2:R4)</f>
        <v>10.000018494937473</v>
      </c>
      <c r="S5" s="16"/>
    </row>
    <row r="6" spans="1:19" ht="15.75" thickTop="1" x14ac:dyDescent="0.25">
      <c r="A6" s="10"/>
      <c r="B6" s="10"/>
      <c r="C6" s="10"/>
      <c r="D6" s="11"/>
      <c r="E6" s="12"/>
      <c r="F6" s="10"/>
      <c r="G6" s="10"/>
      <c r="H6" s="12"/>
      <c r="I6" s="12"/>
      <c r="J6" s="13"/>
      <c r="K6" s="12"/>
      <c r="L6" s="12"/>
      <c r="M6" s="12"/>
      <c r="N6" s="12"/>
      <c r="O6" s="14"/>
      <c r="P6" s="12"/>
      <c r="Q6" s="15"/>
      <c r="R6" s="15"/>
      <c r="S6" s="10"/>
    </row>
    <row r="7" spans="1:19" x14ac:dyDescent="0.25">
      <c r="A7" s="10"/>
      <c r="B7" s="10"/>
      <c r="C7" s="10"/>
      <c r="D7" s="11"/>
      <c r="E7" s="12"/>
      <c r="F7" s="10"/>
      <c r="G7" s="10"/>
      <c r="H7" s="12"/>
      <c r="I7" s="12"/>
      <c r="J7" s="13"/>
      <c r="K7" s="12"/>
      <c r="L7" s="12"/>
      <c r="M7" s="12"/>
      <c r="N7" s="12"/>
      <c r="O7" s="14"/>
      <c r="P7" s="12"/>
      <c r="Q7" s="15"/>
      <c r="R7" s="15"/>
      <c r="S7" s="10"/>
    </row>
    <row r="8" spans="1:19" x14ac:dyDescent="0.25">
      <c r="A8" s="10" t="s">
        <v>2472</v>
      </c>
      <c r="B8" s="10" t="s">
        <v>2473</v>
      </c>
      <c r="C8" s="10" t="s">
        <v>2474</v>
      </c>
      <c r="D8" s="11">
        <v>45691</v>
      </c>
      <c r="E8" s="12">
        <v>632000</v>
      </c>
      <c r="F8" s="10" t="s">
        <v>22</v>
      </c>
      <c r="G8" s="10" t="s">
        <v>23</v>
      </c>
      <c r="H8" s="12">
        <v>632000</v>
      </c>
      <c r="I8" s="12">
        <v>347210</v>
      </c>
      <c r="J8" s="13">
        <f t="shared" ref="J8:J14" si="0">I8/H8*100</f>
        <v>54.938291139240505</v>
      </c>
      <c r="K8" s="12">
        <v>694411</v>
      </c>
      <c r="L8" s="12">
        <f>H8-451482</f>
        <v>180518</v>
      </c>
      <c r="M8" s="12">
        <v>242929</v>
      </c>
      <c r="N8" s="12">
        <f t="shared" ref="N8:N14" si="1">E8*0.2</f>
        <v>126400</v>
      </c>
      <c r="O8" s="14">
        <v>1.5169999999999999</v>
      </c>
      <c r="P8" s="12">
        <f t="shared" ref="P8:P14" si="2">L8/O8</f>
        <v>118996.70402109428</v>
      </c>
      <c r="Q8" s="15">
        <f t="shared" ref="Q8:Q14" si="3">L8/O8/43560</f>
        <v>2.7317884302363242</v>
      </c>
      <c r="R8" s="15">
        <f t="shared" ref="R8:R14" si="4">M8/O8/43560</f>
        <v>3.6762573902263482</v>
      </c>
      <c r="S8" s="10" t="s">
        <v>24</v>
      </c>
    </row>
    <row r="9" spans="1:19" x14ac:dyDescent="0.25">
      <c r="A9" s="10" t="s">
        <v>2475</v>
      </c>
      <c r="B9" s="10" t="s">
        <v>2476</v>
      </c>
      <c r="C9" s="10" t="s">
        <v>2474</v>
      </c>
      <c r="D9" s="11">
        <v>45660</v>
      </c>
      <c r="E9" s="12">
        <v>650000</v>
      </c>
      <c r="F9" s="10" t="s">
        <v>29</v>
      </c>
      <c r="G9" s="10" t="s">
        <v>23</v>
      </c>
      <c r="H9" s="12">
        <v>650000</v>
      </c>
      <c r="I9" s="12">
        <v>216140</v>
      </c>
      <c r="J9" s="13">
        <f t="shared" si="0"/>
        <v>33.252307692307696</v>
      </c>
      <c r="K9" s="12">
        <v>432280</v>
      </c>
      <c r="L9" s="12">
        <f>H9-216564</f>
        <v>433436</v>
      </c>
      <c r="M9" s="12">
        <v>215716</v>
      </c>
      <c r="N9" s="12">
        <f t="shared" si="1"/>
        <v>130000</v>
      </c>
      <c r="O9" s="14">
        <v>1.264</v>
      </c>
      <c r="P9" s="12">
        <f t="shared" si="2"/>
        <v>342908.22784810129</v>
      </c>
      <c r="Q9" s="15">
        <f t="shared" si="3"/>
        <v>7.8720897118480551</v>
      </c>
      <c r="R9" s="15">
        <f t="shared" si="4"/>
        <v>3.9178464739454384</v>
      </c>
      <c r="S9" s="10" t="s">
        <v>24</v>
      </c>
    </row>
    <row r="10" spans="1:19" x14ac:dyDescent="0.25">
      <c r="A10" s="10" t="s">
        <v>2477</v>
      </c>
      <c r="B10" s="10" t="s">
        <v>2478</v>
      </c>
      <c r="C10" s="10" t="s">
        <v>2474</v>
      </c>
      <c r="D10" s="11">
        <v>45422</v>
      </c>
      <c r="E10" s="12">
        <v>2228000</v>
      </c>
      <c r="F10" s="10" t="s">
        <v>29</v>
      </c>
      <c r="G10" s="10" t="s">
        <v>23</v>
      </c>
      <c r="H10" s="12">
        <v>2228000</v>
      </c>
      <c r="I10" s="12">
        <v>751810</v>
      </c>
      <c r="J10" s="13">
        <f t="shared" si="0"/>
        <v>33.743716337522436</v>
      </c>
      <c r="K10" s="12">
        <v>1503610</v>
      </c>
      <c r="L10" s="12">
        <f>H10-1276540</f>
        <v>951460</v>
      </c>
      <c r="M10" s="12">
        <v>227070</v>
      </c>
      <c r="N10" s="12">
        <f t="shared" si="1"/>
        <v>445600</v>
      </c>
      <c r="O10" s="14">
        <v>1.264</v>
      </c>
      <c r="P10" s="12">
        <f t="shared" si="2"/>
        <v>752737.34177215188</v>
      </c>
      <c r="Q10" s="15">
        <f t="shared" si="3"/>
        <v>17.280471574199996</v>
      </c>
      <c r="R10" s="15">
        <f t="shared" si="4"/>
        <v>4.1240584789203893</v>
      </c>
      <c r="S10" s="10" t="s">
        <v>24</v>
      </c>
    </row>
    <row r="11" spans="1:19" x14ac:dyDescent="0.25">
      <c r="A11" s="10" t="s">
        <v>2479</v>
      </c>
      <c r="B11" s="10" t="s">
        <v>2480</v>
      </c>
      <c r="C11" s="10" t="s">
        <v>2474</v>
      </c>
      <c r="D11" s="11">
        <v>45365</v>
      </c>
      <c r="E11" s="12">
        <v>970000</v>
      </c>
      <c r="F11" s="10" t="s">
        <v>29</v>
      </c>
      <c r="G11" s="10" t="s">
        <v>23</v>
      </c>
      <c r="H11" s="12">
        <v>970000</v>
      </c>
      <c r="I11" s="12">
        <v>181630</v>
      </c>
      <c r="J11" s="13">
        <f t="shared" si="0"/>
        <v>18.724742268041236</v>
      </c>
      <c r="K11" s="12">
        <v>363250</v>
      </c>
      <c r="L11" s="12">
        <f>H11-194934</f>
        <v>775066</v>
      </c>
      <c r="M11" s="12">
        <v>168316</v>
      </c>
      <c r="N11" s="12">
        <f t="shared" si="1"/>
        <v>194000</v>
      </c>
      <c r="O11" s="14">
        <v>1.0169999999999999</v>
      </c>
      <c r="P11" s="12">
        <f t="shared" si="2"/>
        <v>762110.12782694201</v>
      </c>
      <c r="Q11" s="15">
        <f t="shared" si="3"/>
        <v>17.495641134686455</v>
      </c>
      <c r="R11" s="15">
        <f t="shared" si="4"/>
        <v>3.7994136411942798</v>
      </c>
      <c r="S11" s="10" t="s">
        <v>24</v>
      </c>
    </row>
    <row r="12" spans="1:19" x14ac:dyDescent="0.25">
      <c r="A12" s="10" t="s">
        <v>2481</v>
      </c>
      <c r="B12" s="10" t="s">
        <v>2482</v>
      </c>
      <c r="C12" s="10" t="s">
        <v>2474</v>
      </c>
      <c r="D12" s="11">
        <v>45506</v>
      </c>
      <c r="E12" s="12">
        <v>520000</v>
      </c>
      <c r="F12" s="10" t="s">
        <v>29</v>
      </c>
      <c r="G12" s="10" t="s">
        <v>23</v>
      </c>
      <c r="H12" s="12">
        <v>520000</v>
      </c>
      <c r="I12" s="12">
        <v>195150</v>
      </c>
      <c r="J12" s="13">
        <f t="shared" si="0"/>
        <v>37.528846153846153</v>
      </c>
      <c r="K12" s="12">
        <v>390304</v>
      </c>
      <c r="L12" s="12">
        <f>H12-201180</f>
        <v>318820</v>
      </c>
      <c r="M12" s="12">
        <v>189124</v>
      </c>
      <c r="N12" s="12">
        <f t="shared" si="1"/>
        <v>104000</v>
      </c>
      <c r="O12" s="14">
        <v>1.026</v>
      </c>
      <c r="P12" s="12">
        <f t="shared" si="2"/>
        <v>310740.74074074073</v>
      </c>
      <c r="Q12" s="15">
        <f t="shared" si="3"/>
        <v>7.1336258204945073</v>
      </c>
      <c r="R12" s="15">
        <f t="shared" si="4"/>
        <v>4.2316662997152097</v>
      </c>
      <c r="S12" s="10" t="s">
        <v>24</v>
      </c>
    </row>
    <row r="13" spans="1:19" x14ac:dyDescent="0.25">
      <c r="A13" s="10" t="s">
        <v>2483</v>
      </c>
      <c r="B13" s="10" t="s">
        <v>2484</v>
      </c>
      <c r="C13" s="10" t="s">
        <v>2474</v>
      </c>
      <c r="D13" s="11">
        <v>45475</v>
      </c>
      <c r="E13" s="12">
        <v>2100000</v>
      </c>
      <c r="F13" s="10" t="s">
        <v>29</v>
      </c>
      <c r="G13" s="10" t="s">
        <v>23</v>
      </c>
      <c r="H13" s="12">
        <v>2100000</v>
      </c>
      <c r="I13" s="12">
        <v>1056290</v>
      </c>
      <c r="J13" s="13">
        <f t="shared" si="0"/>
        <v>50.299523809523805</v>
      </c>
      <c r="K13" s="12">
        <v>2112573</v>
      </c>
      <c r="L13" s="12">
        <f>H13-1830200</f>
        <v>269800</v>
      </c>
      <c r="M13" s="12">
        <v>282373</v>
      </c>
      <c r="N13" s="12">
        <f t="shared" si="1"/>
        <v>420000</v>
      </c>
      <c r="O13" s="14">
        <v>2.0539999999999998</v>
      </c>
      <c r="P13" s="12">
        <f t="shared" si="2"/>
        <v>131353.45666991238</v>
      </c>
      <c r="Q13" s="15">
        <f t="shared" si="3"/>
        <v>3.0154604377849492</v>
      </c>
      <c r="R13" s="15">
        <f t="shared" si="4"/>
        <v>3.1559844707140452</v>
      </c>
      <c r="S13" s="10" t="s">
        <v>24</v>
      </c>
    </row>
    <row r="14" spans="1:19" x14ac:dyDescent="0.25">
      <c r="A14" s="10" t="s">
        <v>2483</v>
      </c>
      <c r="B14" s="10" t="s">
        <v>2484</v>
      </c>
      <c r="C14" s="10" t="s">
        <v>2474</v>
      </c>
      <c r="D14" s="11">
        <v>45519</v>
      </c>
      <c r="E14" s="12">
        <v>2500000</v>
      </c>
      <c r="F14" s="10" t="s">
        <v>29</v>
      </c>
      <c r="G14" s="10" t="s">
        <v>23</v>
      </c>
      <c r="H14" s="12">
        <v>2500000</v>
      </c>
      <c r="I14" s="12">
        <v>1056290</v>
      </c>
      <c r="J14" s="13">
        <f t="shared" si="0"/>
        <v>42.251600000000003</v>
      </c>
      <c r="K14" s="12">
        <v>2112573</v>
      </c>
      <c r="L14" s="12">
        <f>H14-1830200</f>
        <v>669800</v>
      </c>
      <c r="M14" s="12">
        <v>282373</v>
      </c>
      <c r="N14" s="12">
        <f t="shared" si="1"/>
        <v>500000</v>
      </c>
      <c r="O14" s="14">
        <v>2.0539999999999998</v>
      </c>
      <c r="P14" s="12">
        <f t="shared" si="2"/>
        <v>326095.42356377799</v>
      </c>
      <c r="Q14" s="15">
        <f t="shared" si="3"/>
        <v>7.4861208347974744</v>
      </c>
      <c r="R14" s="15">
        <f t="shared" si="4"/>
        <v>3.1559844707140452</v>
      </c>
      <c r="S14" s="10" t="s">
        <v>24</v>
      </c>
    </row>
    <row r="15" spans="1:19" ht="15.75" thickBot="1" x14ac:dyDescent="0.3">
      <c r="A15" s="16"/>
      <c r="B15" s="16"/>
      <c r="C15" s="16"/>
      <c r="D15" s="17"/>
      <c r="E15" s="18"/>
      <c r="F15" s="16"/>
      <c r="G15" s="16"/>
      <c r="H15" s="18"/>
      <c r="I15" s="18"/>
      <c r="J15" s="19"/>
      <c r="K15" s="18"/>
      <c r="L15" s="18">
        <f>AVERAGE(L8:L14)</f>
        <v>514128.57142857142</v>
      </c>
      <c r="M15" s="18">
        <f>AVERAGE(M8:M14)</f>
        <v>229700.14285714287</v>
      </c>
      <c r="N15" s="18">
        <f>AVERAGE(N8:N14)</f>
        <v>274285.71428571426</v>
      </c>
      <c r="O15" s="20"/>
      <c r="P15" s="18"/>
      <c r="Q15" s="21">
        <f>AVERAGE(Q8:Q14)</f>
        <v>9.0021711348639659</v>
      </c>
      <c r="R15" s="21">
        <f>AVERAGE(R8:R14)</f>
        <v>3.7230301750613939</v>
      </c>
      <c r="S15" s="16"/>
    </row>
    <row r="16" spans="1:19" ht="15.75" thickTop="1" x14ac:dyDescent="0.25">
      <c r="A16" s="10"/>
      <c r="B16" s="10"/>
      <c r="C16" s="10"/>
      <c r="D16" s="11"/>
      <c r="E16" s="12"/>
      <c r="F16" s="10"/>
      <c r="G16" s="10"/>
      <c r="H16" s="12"/>
      <c r="I16" s="12"/>
      <c r="J16" s="13"/>
      <c r="K16" s="12"/>
      <c r="L16" s="12"/>
      <c r="M16" s="12"/>
      <c r="N16" s="12"/>
      <c r="O16" s="14"/>
      <c r="P16" s="12"/>
      <c r="Q16" s="15"/>
      <c r="R16" s="15"/>
      <c r="S16" s="10"/>
    </row>
    <row r="17" spans="1:19" x14ac:dyDescent="0.25">
      <c r="A17" s="10"/>
      <c r="B17" s="10"/>
      <c r="C17" s="10"/>
      <c r="D17" s="11"/>
      <c r="E17" s="12"/>
      <c r="F17" s="10"/>
      <c r="G17" s="10"/>
      <c r="H17" s="12"/>
      <c r="I17" s="12"/>
      <c r="J17" s="13"/>
      <c r="K17" s="12"/>
      <c r="L17" s="12"/>
      <c r="M17" s="12"/>
      <c r="N17" s="12"/>
      <c r="O17" s="14"/>
      <c r="P17" s="12"/>
      <c r="Q17" s="15"/>
      <c r="R17" s="15"/>
      <c r="S17" s="10"/>
    </row>
    <row r="18" spans="1:19" x14ac:dyDescent="0.25">
      <c r="A18" s="10" t="s">
        <v>2485</v>
      </c>
      <c r="B18" s="10" t="s">
        <v>2486</v>
      </c>
      <c r="C18" s="10" t="s">
        <v>2487</v>
      </c>
      <c r="D18" s="11">
        <v>45077</v>
      </c>
      <c r="E18" s="12">
        <v>481000</v>
      </c>
      <c r="F18" s="10" t="s">
        <v>22</v>
      </c>
      <c r="G18" s="10" t="s">
        <v>23</v>
      </c>
      <c r="H18" s="12">
        <v>481000</v>
      </c>
      <c r="I18" s="12">
        <v>189920</v>
      </c>
      <c r="J18" s="13">
        <f t="shared" ref="J18:J49" si="5">I18/H18*100</f>
        <v>39.484407484407484</v>
      </c>
      <c r="K18" s="12">
        <v>379836</v>
      </c>
      <c r="L18" s="12">
        <f>H18-257127</f>
        <v>223873</v>
      </c>
      <c r="M18" s="12">
        <v>122709</v>
      </c>
      <c r="N18" s="12">
        <f t="shared" ref="N18:N49" si="6">E18*0.2</f>
        <v>96200</v>
      </c>
      <c r="O18" s="14">
        <v>0.313</v>
      </c>
      <c r="P18" s="12">
        <f t="shared" ref="P18:P49" si="7">L18/O18</f>
        <v>715249.20127795532</v>
      </c>
      <c r="Q18" s="15">
        <f t="shared" ref="Q18:Q49" si="8">L18/O18/43560</f>
        <v>16.419862288290986</v>
      </c>
      <c r="R18" s="15">
        <f t="shared" ref="R18:R49" si="9">M18/O18/43560</f>
        <v>9.0000352053793815</v>
      </c>
      <c r="S18" s="10" t="s">
        <v>24</v>
      </c>
    </row>
    <row r="19" spans="1:19" x14ac:dyDescent="0.25">
      <c r="A19" s="10" t="s">
        <v>2488</v>
      </c>
      <c r="B19" s="10" t="s">
        <v>2489</v>
      </c>
      <c r="C19" s="10" t="s">
        <v>2487</v>
      </c>
      <c r="D19" s="11">
        <v>45464</v>
      </c>
      <c r="E19" s="12">
        <v>365000</v>
      </c>
      <c r="F19" s="10" t="s">
        <v>29</v>
      </c>
      <c r="G19" s="10" t="s">
        <v>23</v>
      </c>
      <c r="H19" s="12">
        <v>365000</v>
      </c>
      <c r="I19" s="12">
        <v>209250</v>
      </c>
      <c r="J19" s="13">
        <f t="shared" si="5"/>
        <v>57.328767123287669</v>
      </c>
      <c r="K19" s="12">
        <v>418492</v>
      </c>
      <c r="L19" s="12">
        <f>H19-301527</f>
        <v>63473</v>
      </c>
      <c r="M19" s="12">
        <v>116965</v>
      </c>
      <c r="N19" s="12">
        <f t="shared" si="6"/>
        <v>73000</v>
      </c>
      <c r="O19" s="14">
        <v>0.35099999999999998</v>
      </c>
      <c r="P19" s="12">
        <f t="shared" si="7"/>
        <v>180834.75783475785</v>
      </c>
      <c r="Q19" s="15">
        <f t="shared" si="8"/>
        <v>4.1513948079604646</v>
      </c>
      <c r="R19" s="15">
        <f t="shared" si="9"/>
        <v>7.6499912358498223</v>
      </c>
      <c r="S19" s="10" t="s">
        <v>24</v>
      </c>
    </row>
    <row r="20" spans="1:19" x14ac:dyDescent="0.25">
      <c r="A20" s="10" t="s">
        <v>2490</v>
      </c>
      <c r="B20" s="10" t="s">
        <v>2491</v>
      </c>
      <c r="C20" s="10" t="s">
        <v>2487</v>
      </c>
      <c r="D20" s="11">
        <v>45428</v>
      </c>
      <c r="E20" s="12">
        <v>530000</v>
      </c>
      <c r="F20" s="10" t="s">
        <v>22</v>
      </c>
      <c r="G20" s="10" t="s">
        <v>23</v>
      </c>
      <c r="H20" s="12">
        <v>530000</v>
      </c>
      <c r="I20" s="12">
        <v>190280</v>
      </c>
      <c r="J20" s="13">
        <f t="shared" si="5"/>
        <v>35.901886792452828</v>
      </c>
      <c r="K20" s="12">
        <v>380558</v>
      </c>
      <c r="L20" s="12">
        <f>H20-257849</f>
        <v>272151</v>
      </c>
      <c r="M20" s="12">
        <v>122709</v>
      </c>
      <c r="N20" s="12">
        <f t="shared" si="6"/>
        <v>106000</v>
      </c>
      <c r="O20" s="14">
        <v>0.313</v>
      </c>
      <c r="P20" s="12">
        <f t="shared" si="7"/>
        <v>869492.01277955272</v>
      </c>
      <c r="Q20" s="15">
        <f t="shared" si="8"/>
        <v>19.960790008713332</v>
      </c>
      <c r="R20" s="15">
        <f t="shared" si="9"/>
        <v>9.0000352053793815</v>
      </c>
      <c r="S20" s="10" t="s">
        <v>24</v>
      </c>
    </row>
    <row r="21" spans="1:19" x14ac:dyDescent="0.25">
      <c r="A21" s="10" t="s">
        <v>2492</v>
      </c>
      <c r="B21" s="10" t="s">
        <v>2493</v>
      </c>
      <c r="C21" s="10" t="s">
        <v>2487</v>
      </c>
      <c r="D21" s="11">
        <v>45534</v>
      </c>
      <c r="E21" s="12">
        <v>579000</v>
      </c>
      <c r="F21" s="10" t="s">
        <v>29</v>
      </c>
      <c r="G21" s="10" t="s">
        <v>23</v>
      </c>
      <c r="H21" s="12">
        <v>579000</v>
      </c>
      <c r="I21" s="12">
        <v>210180</v>
      </c>
      <c r="J21" s="13">
        <f t="shared" si="5"/>
        <v>36.300518134715027</v>
      </c>
      <c r="K21" s="12">
        <v>420365</v>
      </c>
      <c r="L21" s="12">
        <f>H21-297656</f>
        <v>281344</v>
      </c>
      <c r="M21" s="12">
        <v>122709</v>
      </c>
      <c r="N21" s="12">
        <f t="shared" si="6"/>
        <v>115800</v>
      </c>
      <c r="O21" s="14">
        <v>0.313</v>
      </c>
      <c r="P21" s="12">
        <f t="shared" si="7"/>
        <v>898862.61980830668</v>
      </c>
      <c r="Q21" s="15">
        <f t="shared" si="8"/>
        <v>20.635046368418426</v>
      </c>
      <c r="R21" s="15">
        <f t="shared" si="9"/>
        <v>9.0000352053793815</v>
      </c>
      <c r="S21" s="10" t="s">
        <v>24</v>
      </c>
    </row>
    <row r="22" spans="1:19" x14ac:dyDescent="0.25">
      <c r="A22" s="10" t="s">
        <v>2494</v>
      </c>
      <c r="B22" s="10" t="s">
        <v>2495</v>
      </c>
      <c r="C22" s="10" t="s">
        <v>2487</v>
      </c>
      <c r="D22" s="11">
        <v>45050</v>
      </c>
      <c r="E22" s="12">
        <v>560000</v>
      </c>
      <c r="F22" s="10" t="s">
        <v>22</v>
      </c>
      <c r="G22" s="10" t="s">
        <v>23</v>
      </c>
      <c r="H22" s="12">
        <v>560000</v>
      </c>
      <c r="I22" s="12">
        <v>213330</v>
      </c>
      <c r="J22" s="13">
        <f t="shared" si="5"/>
        <v>38.094642857142858</v>
      </c>
      <c r="K22" s="12">
        <v>426660</v>
      </c>
      <c r="L22" s="12">
        <f>H22-291406</f>
        <v>268594</v>
      </c>
      <c r="M22" s="12">
        <v>135254</v>
      </c>
      <c r="N22" s="12">
        <f t="shared" si="6"/>
        <v>112000</v>
      </c>
      <c r="O22" s="14">
        <v>0.34499999999999997</v>
      </c>
      <c r="P22" s="12">
        <f t="shared" si="7"/>
        <v>778533.33333333337</v>
      </c>
      <c r="Q22" s="15">
        <f t="shared" si="8"/>
        <v>17.872666054484238</v>
      </c>
      <c r="R22" s="15">
        <f t="shared" si="9"/>
        <v>9.0000133083137044</v>
      </c>
      <c r="S22" s="10" t="s">
        <v>24</v>
      </c>
    </row>
    <row r="23" spans="1:19" x14ac:dyDescent="0.25">
      <c r="A23" s="10" t="s">
        <v>2496</v>
      </c>
      <c r="B23" s="10" t="s">
        <v>2497</v>
      </c>
      <c r="C23" s="10" t="s">
        <v>2487</v>
      </c>
      <c r="D23" s="11">
        <v>45526</v>
      </c>
      <c r="E23" s="12">
        <v>435000</v>
      </c>
      <c r="F23" s="10" t="s">
        <v>29</v>
      </c>
      <c r="G23" s="10" t="s">
        <v>23</v>
      </c>
      <c r="H23" s="12">
        <v>435000</v>
      </c>
      <c r="I23" s="12">
        <v>155830</v>
      </c>
      <c r="J23" s="13">
        <f t="shared" si="5"/>
        <v>35.822988505747126</v>
      </c>
      <c r="K23" s="12">
        <v>311656</v>
      </c>
      <c r="L23" s="12">
        <f>H23-205354</f>
        <v>229646</v>
      </c>
      <c r="M23" s="12">
        <v>106302</v>
      </c>
      <c r="N23" s="12">
        <f t="shared" si="6"/>
        <v>87000</v>
      </c>
      <c r="O23" s="14">
        <v>0.31900000000000001</v>
      </c>
      <c r="P23" s="12">
        <f t="shared" si="7"/>
        <v>719893.4169278997</v>
      </c>
      <c r="Q23" s="15">
        <f t="shared" si="8"/>
        <v>16.526478809180436</v>
      </c>
      <c r="R23" s="15">
        <f t="shared" si="9"/>
        <v>7.650025475616812</v>
      </c>
      <c r="S23" s="10" t="s">
        <v>24</v>
      </c>
    </row>
    <row r="24" spans="1:19" x14ac:dyDescent="0.25">
      <c r="A24" s="10" t="s">
        <v>2498</v>
      </c>
      <c r="B24" s="10" t="s">
        <v>2499</v>
      </c>
      <c r="C24" s="10" t="s">
        <v>2487</v>
      </c>
      <c r="D24" s="11">
        <v>45737</v>
      </c>
      <c r="E24" s="12">
        <v>536000</v>
      </c>
      <c r="F24" s="10" t="s">
        <v>22</v>
      </c>
      <c r="G24" s="10" t="s">
        <v>23</v>
      </c>
      <c r="H24" s="12">
        <v>536000</v>
      </c>
      <c r="I24" s="12">
        <v>234640</v>
      </c>
      <c r="J24" s="13">
        <f t="shared" si="5"/>
        <v>43.776119402985074</v>
      </c>
      <c r="K24" s="12">
        <v>469273</v>
      </c>
      <c r="L24" s="12">
        <f>H24-345388</f>
        <v>190612</v>
      </c>
      <c r="M24" s="12">
        <v>123885</v>
      </c>
      <c r="N24" s="12">
        <f t="shared" si="6"/>
        <v>107200</v>
      </c>
      <c r="O24" s="14">
        <v>0.316</v>
      </c>
      <c r="P24" s="12">
        <f t="shared" si="7"/>
        <v>603202.5316455696</v>
      </c>
      <c r="Q24" s="15">
        <f t="shared" si="8"/>
        <v>13.847624693424462</v>
      </c>
      <c r="R24" s="15">
        <f t="shared" si="9"/>
        <v>9.0000261533633221</v>
      </c>
      <c r="S24" s="10" t="s">
        <v>24</v>
      </c>
    </row>
    <row r="25" spans="1:19" x14ac:dyDescent="0.25">
      <c r="A25" s="10" t="s">
        <v>2500</v>
      </c>
      <c r="B25" s="10" t="s">
        <v>2501</v>
      </c>
      <c r="C25" s="10" t="s">
        <v>2487</v>
      </c>
      <c r="D25" s="11">
        <v>45168</v>
      </c>
      <c r="E25" s="12">
        <v>452000</v>
      </c>
      <c r="F25" s="10" t="s">
        <v>22</v>
      </c>
      <c r="G25" s="10" t="s">
        <v>23</v>
      </c>
      <c r="H25" s="12">
        <v>452000</v>
      </c>
      <c r="I25" s="12">
        <v>248960</v>
      </c>
      <c r="J25" s="13">
        <f t="shared" si="5"/>
        <v>55.079646017699112</v>
      </c>
      <c r="K25" s="12">
        <v>497913</v>
      </c>
      <c r="L25" s="12">
        <f>H25-374028</f>
        <v>77972</v>
      </c>
      <c r="M25" s="12">
        <v>123885</v>
      </c>
      <c r="N25" s="12">
        <f t="shared" si="6"/>
        <v>90400</v>
      </c>
      <c r="O25" s="14">
        <v>0.316</v>
      </c>
      <c r="P25" s="12">
        <f t="shared" si="7"/>
        <v>246746.83544303797</v>
      </c>
      <c r="Q25" s="15">
        <f t="shared" si="8"/>
        <v>5.6645279027327353</v>
      </c>
      <c r="R25" s="15">
        <f t="shared" si="9"/>
        <v>9.0000261533633221</v>
      </c>
      <c r="S25" s="10" t="s">
        <v>24</v>
      </c>
    </row>
    <row r="26" spans="1:19" x14ac:dyDescent="0.25">
      <c r="A26" s="10" t="s">
        <v>2502</v>
      </c>
      <c r="B26" s="10" t="s">
        <v>2503</v>
      </c>
      <c r="C26" s="10" t="s">
        <v>2487</v>
      </c>
      <c r="D26" s="11">
        <v>45394</v>
      </c>
      <c r="E26" s="12">
        <v>655000</v>
      </c>
      <c r="F26" s="10" t="s">
        <v>29</v>
      </c>
      <c r="G26" s="10" t="s">
        <v>23</v>
      </c>
      <c r="H26" s="12">
        <v>655000</v>
      </c>
      <c r="I26" s="12">
        <v>229520</v>
      </c>
      <c r="J26" s="13">
        <f t="shared" si="5"/>
        <v>35.041221374045797</v>
      </c>
      <c r="K26" s="12">
        <v>459035</v>
      </c>
      <c r="L26" s="12">
        <f>H26-335150</f>
        <v>319850</v>
      </c>
      <c r="M26" s="12">
        <v>123885</v>
      </c>
      <c r="N26" s="12">
        <f t="shared" si="6"/>
        <v>131000</v>
      </c>
      <c r="O26" s="14">
        <v>0.316</v>
      </c>
      <c r="P26" s="12">
        <f t="shared" si="7"/>
        <v>1012183.5443037974</v>
      </c>
      <c r="Q26" s="15">
        <f t="shared" si="8"/>
        <v>23.236536829747415</v>
      </c>
      <c r="R26" s="15">
        <f t="shared" si="9"/>
        <v>9.0000261533633221</v>
      </c>
      <c r="S26" s="10" t="s">
        <v>24</v>
      </c>
    </row>
    <row r="27" spans="1:19" x14ac:dyDescent="0.25">
      <c r="A27" s="10" t="s">
        <v>2504</v>
      </c>
      <c r="B27" s="10" t="s">
        <v>2505</v>
      </c>
      <c r="C27" s="10" t="s">
        <v>2487</v>
      </c>
      <c r="D27" s="11">
        <v>45715</v>
      </c>
      <c r="E27" s="12">
        <v>375500</v>
      </c>
      <c r="F27" s="10" t="s">
        <v>22</v>
      </c>
      <c r="G27" s="10" t="s">
        <v>23</v>
      </c>
      <c r="H27" s="12">
        <v>375500</v>
      </c>
      <c r="I27" s="12">
        <v>185990</v>
      </c>
      <c r="J27" s="13">
        <f t="shared" si="5"/>
        <v>49.531291611185083</v>
      </c>
      <c r="K27" s="12">
        <v>371984</v>
      </c>
      <c r="L27" s="12">
        <f>H27-248491</f>
        <v>127009</v>
      </c>
      <c r="M27" s="12">
        <v>123493</v>
      </c>
      <c r="N27" s="12">
        <f t="shared" si="6"/>
        <v>75100</v>
      </c>
      <c r="O27" s="14">
        <v>0.315</v>
      </c>
      <c r="P27" s="12">
        <f t="shared" si="7"/>
        <v>403203.17460317462</v>
      </c>
      <c r="Q27" s="15">
        <f t="shared" si="8"/>
        <v>9.2562712259681952</v>
      </c>
      <c r="R27" s="15">
        <f t="shared" si="9"/>
        <v>9.0000291515443021</v>
      </c>
      <c r="S27" s="10" t="s">
        <v>24</v>
      </c>
    </row>
    <row r="28" spans="1:19" x14ac:dyDescent="0.25">
      <c r="A28" s="10" t="s">
        <v>2506</v>
      </c>
      <c r="B28" s="10" t="s">
        <v>2507</v>
      </c>
      <c r="C28" s="10" t="s">
        <v>2487</v>
      </c>
      <c r="D28" s="11">
        <v>45104</v>
      </c>
      <c r="E28" s="12">
        <v>498000</v>
      </c>
      <c r="F28" s="10" t="s">
        <v>22</v>
      </c>
      <c r="G28" s="10" t="s">
        <v>23</v>
      </c>
      <c r="H28" s="12">
        <v>498000</v>
      </c>
      <c r="I28" s="12">
        <v>202820</v>
      </c>
      <c r="J28" s="13">
        <f t="shared" si="5"/>
        <v>40.726907630522085</v>
      </c>
      <c r="K28" s="12">
        <v>405640</v>
      </c>
      <c r="L28" s="12">
        <f>H28-281755</f>
        <v>216245</v>
      </c>
      <c r="M28" s="12">
        <v>123885</v>
      </c>
      <c r="N28" s="12">
        <f t="shared" si="6"/>
        <v>99600</v>
      </c>
      <c r="O28" s="14">
        <v>0.316</v>
      </c>
      <c r="P28" s="12">
        <f t="shared" si="7"/>
        <v>684319.62025316455</v>
      </c>
      <c r="Q28" s="15">
        <f t="shared" si="8"/>
        <v>15.709816810219571</v>
      </c>
      <c r="R28" s="15">
        <f t="shared" si="9"/>
        <v>9.0000261533633221</v>
      </c>
      <c r="S28" s="10" t="s">
        <v>24</v>
      </c>
    </row>
    <row r="29" spans="1:19" x14ac:dyDescent="0.25">
      <c r="A29" s="10" t="s">
        <v>2508</v>
      </c>
      <c r="B29" s="10" t="s">
        <v>2509</v>
      </c>
      <c r="C29" s="10" t="s">
        <v>2487</v>
      </c>
      <c r="D29" s="11">
        <v>45222</v>
      </c>
      <c r="E29" s="12">
        <v>355000</v>
      </c>
      <c r="F29" s="10" t="s">
        <v>22</v>
      </c>
      <c r="G29" s="10" t="s">
        <v>23</v>
      </c>
      <c r="H29" s="12">
        <v>355000</v>
      </c>
      <c r="I29" s="12">
        <v>187750</v>
      </c>
      <c r="J29" s="13">
        <f t="shared" si="5"/>
        <v>52.887323943661968</v>
      </c>
      <c r="K29" s="12">
        <v>375493</v>
      </c>
      <c r="L29" s="12">
        <f>H29-263370</f>
        <v>91630</v>
      </c>
      <c r="M29" s="12">
        <v>112123</v>
      </c>
      <c r="N29" s="12">
        <f t="shared" si="6"/>
        <v>71000</v>
      </c>
      <c r="O29" s="14">
        <v>0.28599999999999998</v>
      </c>
      <c r="P29" s="12">
        <f t="shared" si="7"/>
        <v>320384.61538461543</v>
      </c>
      <c r="Q29" s="15">
        <f t="shared" si="8"/>
        <v>7.3550187186550833</v>
      </c>
      <c r="R29" s="15">
        <f t="shared" si="9"/>
        <v>8.9999646817828634</v>
      </c>
      <c r="S29" s="10" t="s">
        <v>24</v>
      </c>
    </row>
    <row r="30" spans="1:19" x14ac:dyDescent="0.25">
      <c r="A30" s="10" t="s">
        <v>2510</v>
      </c>
      <c r="B30" s="10" t="s">
        <v>2511</v>
      </c>
      <c r="C30" s="10" t="s">
        <v>2487</v>
      </c>
      <c r="D30" s="11">
        <v>45440</v>
      </c>
      <c r="E30" s="12">
        <v>706000</v>
      </c>
      <c r="F30" s="10" t="s">
        <v>22</v>
      </c>
      <c r="G30" s="10" t="s">
        <v>23</v>
      </c>
      <c r="H30" s="12">
        <v>706000</v>
      </c>
      <c r="I30" s="12">
        <v>233150</v>
      </c>
      <c r="J30" s="13">
        <f t="shared" si="5"/>
        <v>33.024079320113316</v>
      </c>
      <c r="K30" s="12">
        <v>466294</v>
      </c>
      <c r="L30" s="12">
        <f>H30-349466</f>
        <v>356534</v>
      </c>
      <c r="M30" s="12">
        <v>116828</v>
      </c>
      <c r="N30" s="12">
        <f t="shared" si="6"/>
        <v>141200</v>
      </c>
      <c r="O30" s="14">
        <v>0.29799999999999999</v>
      </c>
      <c r="P30" s="12">
        <f t="shared" si="7"/>
        <v>1196422.8187919464</v>
      </c>
      <c r="Q30" s="15">
        <f t="shared" si="8"/>
        <v>27.466088585673699</v>
      </c>
      <c r="R30" s="15">
        <f t="shared" si="9"/>
        <v>9.000006162910374</v>
      </c>
      <c r="S30" s="10" t="s">
        <v>24</v>
      </c>
    </row>
    <row r="31" spans="1:19" x14ac:dyDescent="0.25">
      <c r="A31" s="10" t="s">
        <v>2512</v>
      </c>
      <c r="B31" s="10" t="s">
        <v>2513</v>
      </c>
      <c r="C31" s="10" t="s">
        <v>2487</v>
      </c>
      <c r="D31" s="11">
        <v>45177</v>
      </c>
      <c r="E31" s="12">
        <v>506400</v>
      </c>
      <c r="F31" s="10" t="s">
        <v>29</v>
      </c>
      <c r="G31" s="10" t="s">
        <v>23</v>
      </c>
      <c r="H31" s="12">
        <v>506400</v>
      </c>
      <c r="I31" s="12">
        <v>216290</v>
      </c>
      <c r="J31" s="13">
        <f t="shared" si="5"/>
        <v>42.711295418641392</v>
      </c>
      <c r="K31" s="12">
        <v>432589</v>
      </c>
      <c r="L31" s="12">
        <f>H31-313409</f>
        <v>192991</v>
      </c>
      <c r="M31" s="12">
        <v>119180</v>
      </c>
      <c r="N31" s="12">
        <f t="shared" si="6"/>
        <v>101280</v>
      </c>
      <c r="O31" s="14">
        <v>0.30399999999999999</v>
      </c>
      <c r="P31" s="12">
        <f t="shared" si="7"/>
        <v>634838.81578947371</v>
      </c>
      <c r="Q31" s="15">
        <f t="shared" si="8"/>
        <v>14.573893842733556</v>
      </c>
      <c r="R31" s="15">
        <f t="shared" si="9"/>
        <v>8.9999879174520334</v>
      </c>
      <c r="S31" s="10" t="s">
        <v>24</v>
      </c>
    </row>
    <row r="32" spans="1:19" x14ac:dyDescent="0.25">
      <c r="A32" s="10" t="s">
        <v>2514</v>
      </c>
      <c r="B32" s="10" t="s">
        <v>2515</v>
      </c>
      <c r="C32" s="10" t="s">
        <v>2487</v>
      </c>
      <c r="D32" s="11">
        <v>45418</v>
      </c>
      <c r="E32" s="12">
        <v>435000</v>
      </c>
      <c r="F32" s="10" t="s">
        <v>22</v>
      </c>
      <c r="G32" s="10" t="s">
        <v>23</v>
      </c>
      <c r="H32" s="12">
        <v>435000</v>
      </c>
      <c r="I32" s="12">
        <v>240020</v>
      </c>
      <c r="J32" s="13">
        <f t="shared" si="5"/>
        <v>55.177011494252866</v>
      </c>
      <c r="K32" s="12">
        <v>480034</v>
      </c>
      <c r="L32" s="12">
        <f>H32-343996</f>
        <v>91004</v>
      </c>
      <c r="M32" s="12">
        <v>136038</v>
      </c>
      <c r="N32" s="12">
        <f t="shared" si="6"/>
        <v>87000</v>
      </c>
      <c r="O32" s="14">
        <v>0.34699999999999998</v>
      </c>
      <c r="P32" s="12">
        <f t="shared" si="7"/>
        <v>262259.36599423632</v>
      </c>
      <c r="Q32" s="15">
        <f t="shared" si="8"/>
        <v>6.0206466022551952</v>
      </c>
      <c r="R32" s="15">
        <f t="shared" si="9"/>
        <v>9.0000079389652363</v>
      </c>
      <c r="S32" s="10" t="s">
        <v>24</v>
      </c>
    </row>
    <row r="33" spans="1:19" x14ac:dyDescent="0.25">
      <c r="A33" s="10" t="s">
        <v>2516</v>
      </c>
      <c r="B33" s="10" t="s">
        <v>2517</v>
      </c>
      <c r="C33" s="10" t="s">
        <v>2487</v>
      </c>
      <c r="D33" s="11">
        <v>45233</v>
      </c>
      <c r="E33" s="12">
        <v>460000</v>
      </c>
      <c r="F33" s="10" t="s">
        <v>22</v>
      </c>
      <c r="G33" s="10" t="s">
        <v>23</v>
      </c>
      <c r="H33" s="12">
        <v>460000</v>
      </c>
      <c r="I33" s="12">
        <v>201360</v>
      </c>
      <c r="J33" s="13">
        <f t="shared" si="5"/>
        <v>43.77391304347826</v>
      </c>
      <c r="K33" s="12">
        <v>402711</v>
      </c>
      <c r="L33" s="12">
        <f>H33-302408</f>
        <v>157592</v>
      </c>
      <c r="M33" s="12">
        <v>100303</v>
      </c>
      <c r="N33" s="12">
        <f t="shared" si="6"/>
        <v>92000</v>
      </c>
      <c r="O33" s="14">
        <v>0.30099999999999999</v>
      </c>
      <c r="P33" s="12">
        <f t="shared" si="7"/>
        <v>523561.46179401997</v>
      </c>
      <c r="Q33" s="15">
        <f t="shared" si="8"/>
        <v>12.019317304729567</v>
      </c>
      <c r="R33" s="15">
        <f t="shared" si="9"/>
        <v>7.6499668994383585</v>
      </c>
      <c r="S33" s="10" t="s">
        <v>24</v>
      </c>
    </row>
    <row r="34" spans="1:19" x14ac:dyDescent="0.25">
      <c r="A34" s="10" t="s">
        <v>2518</v>
      </c>
      <c r="B34" s="10" t="s">
        <v>2519</v>
      </c>
      <c r="C34" s="10" t="s">
        <v>2487</v>
      </c>
      <c r="D34" s="11">
        <v>45736</v>
      </c>
      <c r="E34" s="12">
        <v>450000</v>
      </c>
      <c r="F34" s="10" t="s">
        <v>22</v>
      </c>
      <c r="G34" s="10" t="s">
        <v>23</v>
      </c>
      <c r="H34" s="12">
        <v>450000</v>
      </c>
      <c r="I34" s="12">
        <v>195710</v>
      </c>
      <c r="J34" s="13">
        <f t="shared" si="5"/>
        <v>43.491111111111117</v>
      </c>
      <c r="K34" s="12">
        <v>391423</v>
      </c>
      <c r="L34" s="12">
        <f>H34-265970</f>
        <v>184030</v>
      </c>
      <c r="M34" s="12">
        <v>125453</v>
      </c>
      <c r="N34" s="12">
        <f t="shared" si="6"/>
        <v>90000</v>
      </c>
      <c r="O34" s="14">
        <v>0.32</v>
      </c>
      <c r="P34" s="12">
        <f t="shared" si="7"/>
        <v>575093.75</v>
      </c>
      <c r="Q34" s="15">
        <f t="shared" si="8"/>
        <v>13.202335858585858</v>
      </c>
      <c r="R34" s="15">
        <f t="shared" si="9"/>
        <v>9.0000143480257115</v>
      </c>
      <c r="S34" s="10" t="s">
        <v>24</v>
      </c>
    </row>
    <row r="35" spans="1:19" x14ac:dyDescent="0.25">
      <c r="A35" s="10" t="s">
        <v>2520</v>
      </c>
      <c r="B35" s="10" t="s">
        <v>2521</v>
      </c>
      <c r="C35" s="10" t="s">
        <v>2487</v>
      </c>
      <c r="D35" s="11">
        <v>45523</v>
      </c>
      <c r="E35" s="12">
        <v>467500</v>
      </c>
      <c r="F35" s="10" t="s">
        <v>1379</v>
      </c>
      <c r="G35" s="10" t="s">
        <v>23</v>
      </c>
      <c r="H35" s="12">
        <v>467500</v>
      </c>
      <c r="I35" s="12">
        <v>219990</v>
      </c>
      <c r="J35" s="13">
        <f t="shared" si="5"/>
        <v>47.056684491978615</v>
      </c>
      <c r="K35" s="12">
        <v>439972</v>
      </c>
      <c r="L35" s="12">
        <f>H35-313343</f>
        <v>154157</v>
      </c>
      <c r="M35" s="12">
        <v>126629</v>
      </c>
      <c r="N35" s="12">
        <f t="shared" si="6"/>
        <v>93500</v>
      </c>
      <c r="O35" s="14">
        <v>0.32300000000000001</v>
      </c>
      <c r="P35" s="12">
        <f t="shared" si="7"/>
        <v>477266.25386996905</v>
      </c>
      <c r="Q35" s="15">
        <f t="shared" si="8"/>
        <v>10.956525570935929</v>
      </c>
      <c r="R35" s="15">
        <f t="shared" si="9"/>
        <v>9.0000056859049256</v>
      </c>
      <c r="S35" s="10" t="s">
        <v>24</v>
      </c>
    </row>
    <row r="36" spans="1:19" x14ac:dyDescent="0.25">
      <c r="A36" s="10" t="s">
        <v>2522</v>
      </c>
      <c r="B36" s="10" t="s">
        <v>2523</v>
      </c>
      <c r="C36" s="10" t="s">
        <v>2487</v>
      </c>
      <c r="D36" s="11">
        <v>45639</v>
      </c>
      <c r="E36" s="12">
        <v>498000</v>
      </c>
      <c r="F36" s="10" t="s">
        <v>29</v>
      </c>
      <c r="G36" s="10" t="s">
        <v>23</v>
      </c>
      <c r="H36" s="12">
        <v>498000</v>
      </c>
      <c r="I36" s="12">
        <v>225380</v>
      </c>
      <c r="J36" s="13">
        <f t="shared" si="5"/>
        <v>45.257028112449795</v>
      </c>
      <c r="K36" s="12">
        <v>450754</v>
      </c>
      <c r="L36" s="12">
        <f>H36-322949</f>
        <v>175051</v>
      </c>
      <c r="M36" s="12">
        <v>127805</v>
      </c>
      <c r="N36" s="12">
        <f t="shared" si="6"/>
        <v>99600</v>
      </c>
      <c r="O36" s="14">
        <v>0.32600000000000001</v>
      </c>
      <c r="P36" s="12">
        <f t="shared" si="7"/>
        <v>536966.25766871159</v>
      </c>
      <c r="Q36" s="15">
        <f t="shared" si="8"/>
        <v>12.327049074121019</v>
      </c>
      <c r="R36" s="15">
        <f t="shared" si="9"/>
        <v>8.9999971832096772</v>
      </c>
      <c r="S36" s="10" t="s">
        <v>24</v>
      </c>
    </row>
    <row r="37" spans="1:19" x14ac:dyDescent="0.25">
      <c r="A37" s="10" t="s">
        <v>2524</v>
      </c>
      <c r="B37" s="10" t="s">
        <v>2525</v>
      </c>
      <c r="C37" s="10" t="s">
        <v>2487</v>
      </c>
      <c r="D37" s="11">
        <v>45190</v>
      </c>
      <c r="E37" s="12">
        <v>435000</v>
      </c>
      <c r="F37" s="10" t="s">
        <v>29</v>
      </c>
      <c r="G37" s="10" t="s">
        <v>23</v>
      </c>
      <c r="H37" s="12">
        <v>435000</v>
      </c>
      <c r="I37" s="12">
        <v>207950</v>
      </c>
      <c r="J37" s="13">
        <f t="shared" si="5"/>
        <v>47.804597701149426</v>
      </c>
      <c r="K37" s="12">
        <v>415895</v>
      </c>
      <c r="L37" s="12">
        <f>H37-287698</f>
        <v>147302</v>
      </c>
      <c r="M37" s="12">
        <v>128197</v>
      </c>
      <c r="N37" s="12">
        <f t="shared" si="6"/>
        <v>87000</v>
      </c>
      <c r="O37" s="14">
        <v>0.32700000000000001</v>
      </c>
      <c r="P37" s="12">
        <f t="shared" si="7"/>
        <v>450464.83180428133</v>
      </c>
      <c r="Q37" s="15">
        <f t="shared" si="8"/>
        <v>10.341249582283778</v>
      </c>
      <c r="R37" s="15">
        <f t="shared" si="9"/>
        <v>8.9999943836474277</v>
      </c>
      <c r="S37" s="10" t="s">
        <v>24</v>
      </c>
    </row>
    <row r="38" spans="1:19" x14ac:dyDescent="0.25">
      <c r="A38" s="10" t="s">
        <v>2526</v>
      </c>
      <c r="B38" s="10" t="s">
        <v>2527</v>
      </c>
      <c r="C38" s="10" t="s">
        <v>2487</v>
      </c>
      <c r="D38" s="11">
        <v>45404</v>
      </c>
      <c r="E38" s="12">
        <v>460000</v>
      </c>
      <c r="F38" s="10" t="s">
        <v>29</v>
      </c>
      <c r="G38" s="10" t="s">
        <v>23</v>
      </c>
      <c r="H38" s="12">
        <v>460000</v>
      </c>
      <c r="I38" s="12">
        <v>186850</v>
      </c>
      <c r="J38" s="13">
        <f t="shared" si="5"/>
        <v>40.619565217391305</v>
      </c>
      <c r="K38" s="12">
        <v>373705</v>
      </c>
      <c r="L38" s="12">
        <f>H38-240803</f>
        <v>219197</v>
      </c>
      <c r="M38" s="12">
        <v>132902</v>
      </c>
      <c r="N38" s="12">
        <f t="shared" si="6"/>
        <v>92000</v>
      </c>
      <c r="O38" s="14">
        <v>0.33900000000000002</v>
      </c>
      <c r="P38" s="12">
        <f t="shared" si="7"/>
        <v>646598.82005899702</v>
      </c>
      <c r="Q38" s="15">
        <f t="shared" si="8"/>
        <v>14.843866392538958</v>
      </c>
      <c r="R38" s="15">
        <f t="shared" si="9"/>
        <v>9.000029796489974</v>
      </c>
      <c r="S38" s="10" t="s">
        <v>24</v>
      </c>
    </row>
    <row r="39" spans="1:19" x14ac:dyDescent="0.25">
      <c r="A39" s="10" t="s">
        <v>2528</v>
      </c>
      <c r="B39" s="10" t="s">
        <v>2529</v>
      </c>
      <c r="C39" s="10" t="s">
        <v>2487</v>
      </c>
      <c r="D39" s="11">
        <v>45321</v>
      </c>
      <c r="E39" s="12">
        <v>750000</v>
      </c>
      <c r="F39" s="10" t="s">
        <v>22</v>
      </c>
      <c r="G39" s="10" t="s">
        <v>23</v>
      </c>
      <c r="H39" s="12">
        <v>750000</v>
      </c>
      <c r="I39" s="12">
        <v>219680</v>
      </c>
      <c r="J39" s="13">
        <f t="shared" si="5"/>
        <v>29.290666666666667</v>
      </c>
      <c r="K39" s="12">
        <v>439367</v>
      </c>
      <c r="L39" s="12">
        <f>H39-306073</f>
        <v>443927</v>
      </c>
      <c r="M39" s="12">
        <v>133294</v>
      </c>
      <c r="N39" s="12">
        <f t="shared" si="6"/>
        <v>150000</v>
      </c>
      <c r="O39" s="14">
        <v>0.34</v>
      </c>
      <c r="P39" s="12">
        <f t="shared" si="7"/>
        <v>1305667.6470588234</v>
      </c>
      <c r="Q39" s="15">
        <f t="shared" si="8"/>
        <v>29.974004753416516</v>
      </c>
      <c r="R39" s="15">
        <f t="shared" si="9"/>
        <v>9.0000270080483968</v>
      </c>
      <c r="S39" s="10" t="s">
        <v>24</v>
      </c>
    </row>
    <row r="40" spans="1:19" x14ac:dyDescent="0.25">
      <c r="A40" s="10" t="s">
        <v>2530</v>
      </c>
      <c r="B40" s="10" t="s">
        <v>2531</v>
      </c>
      <c r="C40" s="10" t="s">
        <v>2487</v>
      </c>
      <c r="D40" s="11">
        <v>45076</v>
      </c>
      <c r="E40" s="12">
        <v>625000</v>
      </c>
      <c r="F40" s="10" t="s">
        <v>22</v>
      </c>
      <c r="G40" s="10" t="s">
        <v>23</v>
      </c>
      <c r="H40" s="12">
        <v>625000</v>
      </c>
      <c r="I40" s="12">
        <v>285740</v>
      </c>
      <c r="J40" s="13">
        <f t="shared" si="5"/>
        <v>45.718399999999995</v>
      </c>
      <c r="K40" s="12">
        <v>571472</v>
      </c>
      <c r="L40" s="12">
        <f>H40-469934</f>
        <v>155066</v>
      </c>
      <c r="M40" s="12">
        <v>101538</v>
      </c>
      <c r="N40" s="12">
        <f t="shared" si="6"/>
        <v>125000</v>
      </c>
      <c r="O40" s="14">
        <v>0.25900000000000001</v>
      </c>
      <c r="P40" s="12">
        <f t="shared" si="7"/>
        <v>598710.42471042473</v>
      </c>
      <c r="Q40" s="15">
        <f t="shared" si="8"/>
        <v>13.744500108136473</v>
      </c>
      <c r="R40" s="15">
        <f t="shared" si="9"/>
        <v>8.9999680908771804</v>
      </c>
      <c r="S40" s="10" t="s">
        <v>24</v>
      </c>
    </row>
    <row r="41" spans="1:19" x14ac:dyDescent="0.25">
      <c r="A41" s="10" t="s">
        <v>2532</v>
      </c>
      <c r="B41" s="10" t="s">
        <v>2533</v>
      </c>
      <c r="C41" s="10" t="s">
        <v>2487</v>
      </c>
      <c r="D41" s="11">
        <v>45366</v>
      </c>
      <c r="E41" s="12">
        <v>635000</v>
      </c>
      <c r="F41" s="10" t="s">
        <v>29</v>
      </c>
      <c r="G41" s="10" t="s">
        <v>23</v>
      </c>
      <c r="H41" s="12">
        <v>635000</v>
      </c>
      <c r="I41" s="12">
        <v>245020</v>
      </c>
      <c r="J41" s="13">
        <f t="shared" si="5"/>
        <v>38.585826771653544</v>
      </c>
      <c r="K41" s="12">
        <v>490036</v>
      </c>
      <c r="L41" s="12">
        <f>H41-342629</f>
        <v>292371</v>
      </c>
      <c r="M41" s="12">
        <v>147407</v>
      </c>
      <c r="N41" s="12">
        <f t="shared" si="6"/>
        <v>127000</v>
      </c>
      <c r="O41" s="14">
        <v>0.376</v>
      </c>
      <c r="P41" s="12">
        <f t="shared" si="7"/>
        <v>777582.44680851069</v>
      </c>
      <c r="Q41" s="15">
        <f t="shared" si="8"/>
        <v>17.850836703592989</v>
      </c>
      <c r="R41" s="15">
        <f t="shared" si="9"/>
        <v>8.9999975577828568</v>
      </c>
      <c r="S41" s="10" t="s">
        <v>24</v>
      </c>
    </row>
    <row r="42" spans="1:19" x14ac:dyDescent="0.25">
      <c r="A42" s="10" t="s">
        <v>2534</v>
      </c>
      <c r="B42" s="10" t="s">
        <v>2535</v>
      </c>
      <c r="C42" s="10" t="s">
        <v>2487</v>
      </c>
      <c r="D42" s="11">
        <v>45432</v>
      </c>
      <c r="E42" s="12">
        <v>467000</v>
      </c>
      <c r="F42" s="10" t="s">
        <v>29</v>
      </c>
      <c r="G42" s="10" t="s">
        <v>23</v>
      </c>
      <c r="H42" s="12">
        <v>467000</v>
      </c>
      <c r="I42" s="12">
        <v>257550</v>
      </c>
      <c r="J42" s="13">
        <f t="shared" si="5"/>
        <v>55.149892933618837</v>
      </c>
      <c r="K42" s="12">
        <v>515106</v>
      </c>
      <c r="L42" s="12">
        <f>H42-378676</f>
        <v>88324</v>
      </c>
      <c r="M42" s="12">
        <v>136430</v>
      </c>
      <c r="N42" s="12">
        <f t="shared" si="6"/>
        <v>93400</v>
      </c>
      <c r="O42" s="14">
        <v>0.34799999999999998</v>
      </c>
      <c r="P42" s="12">
        <f t="shared" si="7"/>
        <v>253804.59770114944</v>
      </c>
      <c r="Q42" s="15">
        <f t="shared" si="8"/>
        <v>5.8265518296866263</v>
      </c>
      <c r="R42" s="15">
        <f t="shared" si="9"/>
        <v>9.0000052774347452</v>
      </c>
      <c r="S42" s="10" t="s">
        <v>24</v>
      </c>
    </row>
    <row r="43" spans="1:19" x14ac:dyDescent="0.25">
      <c r="A43" s="10" t="s">
        <v>2536</v>
      </c>
      <c r="B43" s="10" t="s">
        <v>2537</v>
      </c>
      <c r="C43" s="10" t="s">
        <v>2487</v>
      </c>
      <c r="D43" s="11">
        <v>45169</v>
      </c>
      <c r="E43" s="12">
        <v>535000</v>
      </c>
      <c r="F43" s="10" t="s">
        <v>29</v>
      </c>
      <c r="G43" s="10" t="s">
        <v>23</v>
      </c>
      <c r="H43" s="12">
        <v>535000</v>
      </c>
      <c r="I43" s="12">
        <v>238300</v>
      </c>
      <c r="J43" s="13">
        <f t="shared" si="5"/>
        <v>44.542056074766357</v>
      </c>
      <c r="K43" s="12">
        <v>476607</v>
      </c>
      <c r="L43" s="12">
        <f>H43-346058</f>
        <v>188942</v>
      </c>
      <c r="M43" s="12">
        <v>130549</v>
      </c>
      <c r="N43" s="12">
        <f t="shared" si="6"/>
        <v>107000</v>
      </c>
      <c r="O43" s="14">
        <v>0.33300000000000002</v>
      </c>
      <c r="P43" s="12">
        <f t="shared" si="7"/>
        <v>567393.39339339337</v>
      </c>
      <c r="Q43" s="15">
        <f t="shared" si="8"/>
        <v>13.025559995256964</v>
      </c>
      <c r="R43" s="15">
        <f t="shared" si="9"/>
        <v>8.9999779393718775</v>
      </c>
      <c r="S43" s="10" t="s">
        <v>24</v>
      </c>
    </row>
    <row r="44" spans="1:19" x14ac:dyDescent="0.25">
      <c r="A44" s="10" t="s">
        <v>2538</v>
      </c>
      <c r="B44" s="10" t="s">
        <v>2539</v>
      </c>
      <c r="C44" s="10" t="s">
        <v>2487</v>
      </c>
      <c r="D44" s="11">
        <v>45464</v>
      </c>
      <c r="E44" s="12">
        <v>325000</v>
      </c>
      <c r="F44" s="10" t="s">
        <v>22</v>
      </c>
      <c r="G44" s="10" t="s">
        <v>23</v>
      </c>
      <c r="H44" s="12">
        <v>325000</v>
      </c>
      <c r="I44" s="12">
        <v>185740</v>
      </c>
      <c r="J44" s="13">
        <f t="shared" si="5"/>
        <v>57.150769230769228</v>
      </c>
      <c r="K44" s="12">
        <v>371471</v>
      </c>
      <c r="L44" s="12">
        <f>H44-235041</f>
        <v>89959</v>
      </c>
      <c r="M44" s="12">
        <v>136430</v>
      </c>
      <c r="N44" s="12">
        <f t="shared" si="6"/>
        <v>65000</v>
      </c>
      <c r="O44" s="14">
        <v>0.34799999999999998</v>
      </c>
      <c r="P44" s="12">
        <f t="shared" si="7"/>
        <v>258502.8735632184</v>
      </c>
      <c r="Q44" s="15">
        <f t="shared" si="8"/>
        <v>5.9344094022777414</v>
      </c>
      <c r="R44" s="15">
        <f t="shared" si="9"/>
        <v>9.0000052774347452</v>
      </c>
      <c r="S44" s="10" t="s">
        <v>24</v>
      </c>
    </row>
    <row r="45" spans="1:19" x14ac:dyDescent="0.25">
      <c r="A45" s="10" t="s">
        <v>2540</v>
      </c>
      <c r="B45" s="10" t="s">
        <v>2541</v>
      </c>
      <c r="C45" s="10" t="s">
        <v>2487</v>
      </c>
      <c r="D45" s="11">
        <v>45401</v>
      </c>
      <c r="E45" s="12">
        <v>480000</v>
      </c>
      <c r="F45" s="10" t="s">
        <v>29</v>
      </c>
      <c r="G45" s="10" t="s">
        <v>23</v>
      </c>
      <c r="H45" s="12">
        <v>480000</v>
      </c>
      <c r="I45" s="12">
        <v>244740</v>
      </c>
      <c r="J45" s="13">
        <f t="shared" si="5"/>
        <v>50.987499999999997</v>
      </c>
      <c r="K45" s="12">
        <v>489488</v>
      </c>
      <c r="L45" s="12">
        <f>H45-363643</f>
        <v>116357</v>
      </c>
      <c r="M45" s="12">
        <v>125845</v>
      </c>
      <c r="N45" s="12">
        <f t="shared" si="6"/>
        <v>96000</v>
      </c>
      <c r="O45" s="14">
        <v>0.32100000000000001</v>
      </c>
      <c r="P45" s="12">
        <f t="shared" si="7"/>
        <v>362482.8660436137</v>
      </c>
      <c r="Q45" s="15">
        <f t="shared" si="8"/>
        <v>8.3214615712491664</v>
      </c>
      <c r="R45" s="15">
        <f t="shared" si="9"/>
        <v>9.0000114426622488</v>
      </c>
      <c r="S45" s="10" t="s">
        <v>24</v>
      </c>
    </row>
    <row r="46" spans="1:19" x14ac:dyDescent="0.25">
      <c r="A46" s="10" t="s">
        <v>2542</v>
      </c>
      <c r="B46" s="10" t="s">
        <v>2543</v>
      </c>
      <c r="C46" s="10" t="s">
        <v>2487</v>
      </c>
      <c r="D46" s="11">
        <v>45274</v>
      </c>
      <c r="E46" s="12">
        <v>500000</v>
      </c>
      <c r="F46" s="10" t="s">
        <v>29</v>
      </c>
      <c r="G46" s="10" t="s">
        <v>23</v>
      </c>
      <c r="H46" s="12">
        <v>500000</v>
      </c>
      <c r="I46" s="12">
        <v>223880</v>
      </c>
      <c r="J46" s="13">
        <f t="shared" si="5"/>
        <v>44.775999999999996</v>
      </c>
      <c r="K46" s="12">
        <v>447760</v>
      </c>
      <c r="L46" s="12">
        <f>H46-323875</f>
        <v>176125</v>
      </c>
      <c r="M46" s="12">
        <v>123885</v>
      </c>
      <c r="N46" s="12">
        <f t="shared" si="6"/>
        <v>100000</v>
      </c>
      <c r="O46" s="14">
        <v>0.316</v>
      </c>
      <c r="P46" s="12">
        <f t="shared" si="7"/>
        <v>557357.5949367088</v>
      </c>
      <c r="Q46" s="15">
        <f t="shared" si="8"/>
        <v>12.795169764387255</v>
      </c>
      <c r="R46" s="15">
        <f t="shared" si="9"/>
        <v>9.0000261533633221</v>
      </c>
      <c r="S46" s="10" t="s">
        <v>24</v>
      </c>
    </row>
    <row r="47" spans="1:19" x14ac:dyDescent="0.25">
      <c r="A47" s="10" t="s">
        <v>2544</v>
      </c>
      <c r="B47" s="10" t="s">
        <v>2545</v>
      </c>
      <c r="C47" s="10" t="s">
        <v>2487</v>
      </c>
      <c r="D47" s="11">
        <v>45063</v>
      </c>
      <c r="E47" s="12">
        <v>490000</v>
      </c>
      <c r="F47" s="10" t="s">
        <v>29</v>
      </c>
      <c r="G47" s="10" t="s">
        <v>23</v>
      </c>
      <c r="H47" s="12">
        <v>490000</v>
      </c>
      <c r="I47" s="12">
        <v>272780</v>
      </c>
      <c r="J47" s="13">
        <f t="shared" si="5"/>
        <v>55.669387755102036</v>
      </c>
      <c r="K47" s="12">
        <v>545552</v>
      </c>
      <c r="L47" s="12">
        <f>H47-421667</f>
        <v>68333</v>
      </c>
      <c r="M47" s="12">
        <v>123885</v>
      </c>
      <c r="N47" s="12">
        <f t="shared" si="6"/>
        <v>98000</v>
      </c>
      <c r="O47" s="14">
        <v>0.316</v>
      </c>
      <c r="P47" s="12">
        <f t="shared" si="7"/>
        <v>216243.67088607594</v>
      </c>
      <c r="Q47" s="15">
        <f t="shared" si="8"/>
        <v>4.9642715997721751</v>
      </c>
      <c r="R47" s="15">
        <f t="shared" si="9"/>
        <v>9.0000261533633221</v>
      </c>
      <c r="S47" s="10" t="s">
        <v>24</v>
      </c>
    </row>
    <row r="48" spans="1:19" x14ac:dyDescent="0.25">
      <c r="A48" s="10" t="s">
        <v>2546</v>
      </c>
      <c r="B48" s="10" t="s">
        <v>2547</v>
      </c>
      <c r="C48" s="10" t="s">
        <v>2487</v>
      </c>
      <c r="D48" s="11">
        <v>45547</v>
      </c>
      <c r="E48" s="12">
        <v>550000</v>
      </c>
      <c r="F48" s="10" t="s">
        <v>22</v>
      </c>
      <c r="G48" s="10" t="s">
        <v>23</v>
      </c>
      <c r="H48" s="12">
        <v>550000</v>
      </c>
      <c r="I48" s="12">
        <v>218580</v>
      </c>
      <c r="J48" s="13">
        <f t="shared" si="5"/>
        <v>39.741818181818182</v>
      </c>
      <c r="K48" s="12">
        <v>437165</v>
      </c>
      <c r="L48" s="12">
        <f>H48-313280</f>
        <v>236720</v>
      </c>
      <c r="M48" s="12">
        <v>123885</v>
      </c>
      <c r="N48" s="12">
        <f t="shared" si="6"/>
        <v>110000</v>
      </c>
      <c r="O48" s="14">
        <v>0.316</v>
      </c>
      <c r="P48" s="12">
        <f t="shared" si="7"/>
        <v>749113.92405063286</v>
      </c>
      <c r="Q48" s="15">
        <f t="shared" si="8"/>
        <v>17.197289349188082</v>
      </c>
      <c r="R48" s="15">
        <f t="shared" si="9"/>
        <v>9.0000261533633221</v>
      </c>
      <c r="S48" s="10" t="s">
        <v>24</v>
      </c>
    </row>
    <row r="49" spans="1:19" x14ac:dyDescent="0.25">
      <c r="A49" s="10" t="s">
        <v>2548</v>
      </c>
      <c r="B49" s="10" t="s">
        <v>2549</v>
      </c>
      <c r="C49" s="10" t="s">
        <v>2487</v>
      </c>
      <c r="D49" s="11">
        <v>45447</v>
      </c>
      <c r="E49" s="12">
        <v>625000</v>
      </c>
      <c r="F49" s="10" t="s">
        <v>29</v>
      </c>
      <c r="G49" s="10" t="s">
        <v>23</v>
      </c>
      <c r="H49" s="12">
        <v>625000</v>
      </c>
      <c r="I49" s="12">
        <v>259500</v>
      </c>
      <c r="J49" s="13">
        <f t="shared" si="5"/>
        <v>41.52</v>
      </c>
      <c r="K49" s="12">
        <v>518996</v>
      </c>
      <c r="L49" s="12">
        <f>H49-397464</f>
        <v>227536</v>
      </c>
      <c r="M49" s="12">
        <v>121532</v>
      </c>
      <c r="N49" s="12">
        <f t="shared" si="6"/>
        <v>125000</v>
      </c>
      <c r="O49" s="14">
        <v>0.31</v>
      </c>
      <c r="P49" s="12">
        <f t="shared" si="7"/>
        <v>733987.09677419357</v>
      </c>
      <c r="Q49" s="15">
        <f t="shared" si="8"/>
        <v>16.850025178470926</v>
      </c>
      <c r="R49" s="15">
        <f t="shared" si="9"/>
        <v>8.9999703782694986</v>
      </c>
      <c r="S49" s="10" t="s">
        <v>24</v>
      </c>
    </row>
    <row r="50" spans="1:19" ht="15.75" thickBot="1" x14ac:dyDescent="0.3">
      <c r="A50" s="16"/>
      <c r="B50" s="16"/>
      <c r="C50" s="16"/>
      <c r="D50" s="17"/>
      <c r="E50" s="18"/>
      <c r="F50" s="16"/>
      <c r="G50" s="16"/>
      <c r="H50" s="18"/>
      <c r="I50" s="18"/>
      <c r="J50" s="19"/>
      <c r="K50" s="18"/>
      <c r="L50" s="18">
        <f>AVERAGE(L18:L49)</f>
        <v>191372.40625</v>
      </c>
      <c r="M50" s="18">
        <f>AVERAGE(M18:M49)</f>
        <v>124244.34375</v>
      </c>
      <c r="N50" s="18">
        <f>AVERAGE(N18:N49)</f>
        <v>101383.75</v>
      </c>
      <c r="O50" s="20"/>
      <c r="P50" s="18"/>
      <c r="Q50" s="21">
        <f>AVERAGE(Q18:Q49)</f>
        <v>13.714721487096497</v>
      </c>
      <c r="R50" s="21">
        <f>AVERAGE(R18:R49)</f>
        <v>8.8734464322098159</v>
      </c>
      <c r="S50" s="16"/>
    </row>
    <row r="51" spans="1:19" ht="15.75" thickTop="1" x14ac:dyDescent="0.25">
      <c r="A51" s="10"/>
      <c r="B51" s="10"/>
      <c r="C51" s="10"/>
      <c r="D51" s="11"/>
      <c r="E51" s="12"/>
      <c r="F51" s="10"/>
      <c r="G51" s="10"/>
      <c r="H51" s="12"/>
      <c r="I51" s="12"/>
      <c r="J51" s="13"/>
      <c r="K51" s="12"/>
      <c r="L51" s="12"/>
      <c r="M51" s="12"/>
      <c r="N51" s="12"/>
      <c r="O51" s="14"/>
      <c r="P51" s="12"/>
      <c r="Q51" s="15"/>
      <c r="R51" s="15"/>
      <c r="S51" s="10"/>
    </row>
    <row r="52" spans="1:19" x14ac:dyDescent="0.25">
      <c r="A52" s="10"/>
      <c r="B52" s="10"/>
      <c r="C52" s="10"/>
      <c r="D52" s="11"/>
      <c r="E52" s="12"/>
      <c r="F52" s="10"/>
      <c r="G52" s="10"/>
      <c r="H52" s="12"/>
      <c r="I52" s="12"/>
      <c r="J52" s="13"/>
      <c r="K52" s="12"/>
      <c r="L52" s="12"/>
      <c r="M52" s="12"/>
      <c r="N52" s="12"/>
      <c r="O52" s="14"/>
      <c r="P52" s="12"/>
      <c r="Q52" s="15"/>
      <c r="R52" s="15"/>
      <c r="S52" s="10"/>
    </row>
    <row r="53" spans="1:19" x14ac:dyDescent="0.25">
      <c r="A53" s="10" t="s">
        <v>2550</v>
      </c>
      <c r="B53" s="10" t="s">
        <v>2551</v>
      </c>
      <c r="C53" s="10" t="s">
        <v>2552</v>
      </c>
      <c r="D53" s="11">
        <v>45055</v>
      </c>
      <c r="E53" s="12">
        <v>420000</v>
      </c>
      <c r="F53" s="10" t="s">
        <v>22</v>
      </c>
      <c r="G53" s="10" t="s">
        <v>23</v>
      </c>
      <c r="H53" s="12">
        <v>420000</v>
      </c>
      <c r="I53" s="12">
        <v>179870</v>
      </c>
      <c r="J53" s="13">
        <f>I53/H53*100</f>
        <v>42.826190476190476</v>
      </c>
      <c r="K53" s="12">
        <v>359731</v>
      </c>
      <c r="L53" s="12">
        <f>H53-211108</f>
        <v>208892</v>
      </c>
      <c r="M53" s="12">
        <v>148623</v>
      </c>
      <c r="N53" s="12">
        <f>E53*0.2</f>
        <v>84000</v>
      </c>
      <c r="O53" s="14">
        <v>0.66900000000000004</v>
      </c>
      <c r="P53" s="12">
        <f>L53/O53</f>
        <v>312245.14200298954</v>
      </c>
      <c r="Q53" s="15">
        <f>L53/O53/43560</f>
        <v>7.1681621212807514</v>
      </c>
      <c r="R53" s="15">
        <f>M53/O53/43560</f>
        <v>5.100021824440903</v>
      </c>
      <c r="S53" s="10" t="s">
        <v>24</v>
      </c>
    </row>
    <row r="54" spans="1:19" x14ac:dyDescent="0.25">
      <c r="A54" s="10" t="s">
        <v>2553</v>
      </c>
      <c r="B54" s="10" t="s">
        <v>2554</v>
      </c>
      <c r="C54" s="10" t="s">
        <v>2552</v>
      </c>
      <c r="D54" s="11">
        <v>45125</v>
      </c>
      <c r="E54" s="12">
        <v>1350000</v>
      </c>
      <c r="F54" s="10" t="s">
        <v>29</v>
      </c>
      <c r="G54" s="10" t="s">
        <v>23</v>
      </c>
      <c r="H54" s="12">
        <v>1350000</v>
      </c>
      <c r="I54" s="12">
        <v>548050</v>
      </c>
      <c r="J54" s="13">
        <f>I54/H54*100</f>
        <v>40.596296296296295</v>
      </c>
      <c r="K54" s="12">
        <v>1096104</v>
      </c>
      <c r="L54" s="12">
        <f>H54-948501</f>
        <v>401499</v>
      </c>
      <c r="M54" s="12">
        <v>147603</v>
      </c>
      <c r="N54" s="12">
        <f>E54*0.2</f>
        <v>270000</v>
      </c>
      <c r="O54" s="14">
        <v>0.61099999999999999</v>
      </c>
      <c r="P54" s="12">
        <f>L54/O54</f>
        <v>657117.83960720128</v>
      </c>
      <c r="Q54" s="15">
        <f>L54/O54/43560</f>
        <v>15.085349853241535</v>
      </c>
      <c r="R54" s="15">
        <f>M54/O54/43560</f>
        <v>5.5458242595573353</v>
      </c>
      <c r="S54" s="10" t="s">
        <v>24</v>
      </c>
    </row>
    <row r="55" spans="1:19" x14ac:dyDescent="0.25">
      <c r="A55" s="10" t="s">
        <v>2555</v>
      </c>
      <c r="B55" s="10" t="s">
        <v>2556</v>
      </c>
      <c r="C55" s="10" t="s">
        <v>2552</v>
      </c>
      <c r="D55" s="11">
        <v>45114</v>
      </c>
      <c r="E55" s="12">
        <v>552000</v>
      </c>
      <c r="F55" s="10" t="s">
        <v>29</v>
      </c>
      <c r="G55" s="10" t="s">
        <v>23</v>
      </c>
      <c r="H55" s="12">
        <v>552000</v>
      </c>
      <c r="I55" s="12">
        <v>276170</v>
      </c>
      <c r="J55" s="13">
        <f>I55/H55*100</f>
        <v>50.030797101449274</v>
      </c>
      <c r="K55" s="12">
        <v>552333</v>
      </c>
      <c r="L55" s="12">
        <f>H55-408541</f>
        <v>143459</v>
      </c>
      <c r="M55" s="12">
        <v>143792</v>
      </c>
      <c r="N55" s="12">
        <f>E55*0.2</f>
        <v>110400</v>
      </c>
      <c r="O55" s="14">
        <v>0.58599999999999997</v>
      </c>
      <c r="P55" s="12">
        <f>L55/O55</f>
        <v>244810.58020477818</v>
      </c>
      <c r="Q55" s="15">
        <f>L55/O55/43560</f>
        <v>5.6200775988241087</v>
      </c>
      <c r="R55" s="15">
        <f>M55/O55/43560</f>
        <v>5.6331230392663842</v>
      </c>
      <c r="S55" s="10" t="s">
        <v>24</v>
      </c>
    </row>
    <row r="56" spans="1:19" x14ac:dyDescent="0.25">
      <c r="A56" s="10" t="s">
        <v>2557</v>
      </c>
      <c r="B56" s="10" t="s">
        <v>2558</v>
      </c>
      <c r="C56" s="10" t="s">
        <v>2552</v>
      </c>
      <c r="D56" s="11">
        <v>45471</v>
      </c>
      <c r="E56" s="12">
        <v>500000</v>
      </c>
      <c r="F56" s="10" t="s">
        <v>29</v>
      </c>
      <c r="G56" s="10" t="s">
        <v>23</v>
      </c>
      <c r="H56" s="12">
        <v>500000</v>
      </c>
      <c r="I56" s="12">
        <v>255050</v>
      </c>
      <c r="J56" s="13">
        <f>I56/H56*100</f>
        <v>51.01</v>
      </c>
      <c r="K56" s="12">
        <v>510098</v>
      </c>
      <c r="L56" s="12">
        <f>H56-361428</f>
        <v>138572</v>
      </c>
      <c r="M56" s="12">
        <v>148670</v>
      </c>
      <c r="N56" s="12">
        <f>E56*0.2</f>
        <v>100000</v>
      </c>
      <c r="O56" s="14">
        <v>0.61799999999999999</v>
      </c>
      <c r="P56" s="12">
        <f>L56/O56</f>
        <v>224226.5372168285</v>
      </c>
      <c r="Q56" s="15">
        <f>L56/O56/43560</f>
        <v>5.1475329939584133</v>
      </c>
      <c r="R56" s="15">
        <f>M56/O56/43560</f>
        <v>5.5226433205250505</v>
      </c>
      <c r="S56" s="10" t="s">
        <v>24</v>
      </c>
    </row>
    <row r="57" spans="1:19" x14ac:dyDescent="0.25">
      <c r="A57" s="10" t="s">
        <v>2559</v>
      </c>
      <c r="B57" s="10" t="s">
        <v>2560</v>
      </c>
      <c r="C57" s="10" t="s">
        <v>2552</v>
      </c>
      <c r="D57" s="11">
        <v>45117</v>
      </c>
      <c r="E57" s="12">
        <v>547500</v>
      </c>
      <c r="F57" s="10" t="s">
        <v>29</v>
      </c>
      <c r="G57" s="10" t="s">
        <v>23</v>
      </c>
      <c r="H57" s="12">
        <v>547500</v>
      </c>
      <c r="I57" s="12">
        <v>299560</v>
      </c>
      <c r="J57" s="13">
        <f>I57/H57*100</f>
        <v>54.714155251141548</v>
      </c>
      <c r="K57" s="12">
        <v>599110</v>
      </c>
      <c r="L57" s="12">
        <f>H57-424870</f>
        <v>122630</v>
      </c>
      <c r="M57" s="12">
        <v>174240</v>
      </c>
      <c r="N57" s="12">
        <f>E57*0.2</f>
        <v>109500</v>
      </c>
      <c r="O57" s="14">
        <v>0.875</v>
      </c>
      <c r="P57" s="12">
        <f>L57/O57</f>
        <v>140148.57142857142</v>
      </c>
      <c r="Q57" s="15">
        <f>L57/O57/43560</f>
        <v>3.2173684900957626</v>
      </c>
      <c r="R57" s="15">
        <f>M57/O57/43560</f>
        <v>4.5714285714285721</v>
      </c>
      <c r="S57" s="10" t="s">
        <v>24</v>
      </c>
    </row>
    <row r="58" spans="1:19" ht="15.75" thickBot="1" x14ac:dyDescent="0.3">
      <c r="A58" s="16"/>
      <c r="B58" s="16"/>
      <c r="C58" s="16"/>
      <c r="D58" s="17"/>
      <c r="E58" s="18"/>
      <c r="F58" s="16"/>
      <c r="G58" s="16"/>
      <c r="H58" s="18"/>
      <c r="I58" s="18"/>
      <c r="J58" s="19"/>
      <c r="K58" s="18"/>
      <c r="L58" s="18">
        <f>AVERAGE(L53:L57)</f>
        <v>203010.4</v>
      </c>
      <c r="M58" s="18">
        <f>AVERAGE(M53:M57)</f>
        <v>152585.60000000001</v>
      </c>
      <c r="N58" s="18">
        <f>AVERAGE(N53:N57)</f>
        <v>134780</v>
      </c>
      <c r="O58" s="20"/>
      <c r="P58" s="18"/>
      <c r="Q58" s="21">
        <f>AVERAGE(Q53:Q57)</f>
        <v>7.2476982114801149</v>
      </c>
      <c r="R58" s="21">
        <f>AVERAGE(R53:R57)</f>
        <v>5.2746082030436492</v>
      </c>
      <c r="S58" s="16"/>
    </row>
    <row r="59" spans="1:19" ht="15.75" thickTop="1" x14ac:dyDescent="0.25">
      <c r="A59" s="10"/>
      <c r="B59" s="10"/>
      <c r="C59" s="10"/>
      <c r="D59" s="11"/>
      <c r="E59" s="12"/>
      <c r="F59" s="10"/>
      <c r="G59" s="10"/>
      <c r="H59" s="12"/>
      <c r="I59" s="12"/>
      <c r="J59" s="13"/>
      <c r="K59" s="12"/>
      <c r="L59" s="12"/>
      <c r="M59" s="12"/>
      <c r="N59" s="12"/>
      <c r="O59" s="14"/>
      <c r="P59" s="12"/>
      <c r="Q59" s="15"/>
      <c r="R59" s="15"/>
      <c r="S59" s="10"/>
    </row>
    <row r="60" spans="1:19" x14ac:dyDescent="0.25">
      <c r="A60" s="10"/>
      <c r="B60" s="10"/>
      <c r="C60" s="10"/>
      <c r="D60" s="11"/>
      <c r="E60" s="12"/>
      <c r="F60" s="10"/>
      <c r="G60" s="10"/>
      <c r="H60" s="12"/>
      <c r="I60" s="12"/>
      <c r="J60" s="13"/>
      <c r="K60" s="12"/>
      <c r="L60" s="12"/>
      <c r="M60" s="12"/>
      <c r="N60" s="12"/>
      <c r="O60" s="14"/>
      <c r="P60" s="12"/>
      <c r="Q60" s="15"/>
      <c r="R60" s="15"/>
      <c r="S60" s="10"/>
    </row>
    <row r="61" spans="1:19" x14ac:dyDescent="0.25">
      <c r="A61" s="10" t="s">
        <v>2561</v>
      </c>
      <c r="B61" s="10" t="s">
        <v>2562</v>
      </c>
      <c r="C61" s="10" t="s">
        <v>2563</v>
      </c>
      <c r="D61" s="11">
        <v>45664</v>
      </c>
      <c r="E61" s="12">
        <v>695000</v>
      </c>
      <c r="F61" s="10" t="s">
        <v>22</v>
      </c>
      <c r="G61" s="10" t="s">
        <v>23</v>
      </c>
      <c r="H61" s="12">
        <v>695000</v>
      </c>
      <c r="I61" s="12">
        <v>88550</v>
      </c>
      <c r="J61" s="13">
        <f t="shared" ref="J61:J67" si="10">I61/H61*100</f>
        <v>12.741007194244606</v>
      </c>
      <c r="K61" s="12">
        <v>177099</v>
      </c>
      <c r="L61" s="12">
        <f>H61-0</f>
        <v>695000</v>
      </c>
      <c r="M61" s="12">
        <v>177099</v>
      </c>
      <c r="N61" s="12">
        <f t="shared" ref="N61:N67" si="11">E61*0.2</f>
        <v>139000</v>
      </c>
      <c r="O61" s="14">
        <v>0.89400000000000002</v>
      </c>
      <c r="P61" s="12">
        <f t="shared" ref="P61:P67" si="12">L61/O61</f>
        <v>777404.9217002237</v>
      </c>
      <c r="Q61" s="15">
        <f t="shared" ref="Q61:Q67" si="13">L61/O61/43560</f>
        <v>17.846761287883922</v>
      </c>
      <c r="R61" s="15">
        <f t="shared" ref="R61:R67" si="14">M61/O61/43560</f>
        <v>4.5476886004646833</v>
      </c>
      <c r="S61" s="10" t="s">
        <v>504</v>
      </c>
    </row>
    <row r="62" spans="1:19" x14ac:dyDescent="0.25">
      <c r="A62" s="10" t="s">
        <v>2564</v>
      </c>
      <c r="B62" s="10" t="s">
        <v>2565</v>
      </c>
      <c r="C62" s="10" t="s">
        <v>2563</v>
      </c>
      <c r="D62" s="11">
        <v>45712</v>
      </c>
      <c r="E62" s="12">
        <v>600000</v>
      </c>
      <c r="F62" s="10" t="s">
        <v>726</v>
      </c>
      <c r="G62" s="10" t="s">
        <v>23</v>
      </c>
      <c r="H62" s="12">
        <v>600000</v>
      </c>
      <c r="I62" s="12">
        <v>86460</v>
      </c>
      <c r="J62" s="13">
        <f t="shared" si="10"/>
        <v>14.41</v>
      </c>
      <c r="K62" s="12">
        <v>172921</v>
      </c>
      <c r="L62" s="12">
        <f>H62-0</f>
        <v>600000</v>
      </c>
      <c r="M62" s="12">
        <v>172921</v>
      </c>
      <c r="N62" s="12">
        <f t="shared" si="11"/>
        <v>120000</v>
      </c>
      <c r="O62" s="14">
        <v>0.79100000000000004</v>
      </c>
      <c r="P62" s="12">
        <f t="shared" si="12"/>
        <v>758533.50189633376</v>
      </c>
      <c r="Q62" s="15">
        <f t="shared" si="13"/>
        <v>17.413533101385074</v>
      </c>
      <c r="R62" s="15">
        <f t="shared" si="14"/>
        <v>5.0186092623743468</v>
      </c>
      <c r="S62" s="10" t="s">
        <v>504</v>
      </c>
    </row>
    <row r="63" spans="1:19" x14ac:dyDescent="0.25">
      <c r="A63" s="10" t="s">
        <v>2566</v>
      </c>
      <c r="B63" s="10" t="s">
        <v>2567</v>
      </c>
      <c r="C63" s="10" t="s">
        <v>2563</v>
      </c>
      <c r="D63" s="11">
        <v>45435</v>
      </c>
      <c r="E63" s="12">
        <v>585000</v>
      </c>
      <c r="F63" s="10" t="s">
        <v>29</v>
      </c>
      <c r="G63" s="10" t="s">
        <v>23</v>
      </c>
      <c r="H63" s="12">
        <v>585000</v>
      </c>
      <c r="I63" s="12">
        <v>60810</v>
      </c>
      <c r="J63" s="13">
        <f t="shared" si="10"/>
        <v>10.394871794871795</v>
      </c>
      <c r="K63" s="12">
        <v>121629</v>
      </c>
      <c r="L63" s="12">
        <f>H63-0</f>
        <v>585000</v>
      </c>
      <c r="M63" s="12">
        <v>121629</v>
      </c>
      <c r="N63" s="12">
        <f t="shared" si="11"/>
        <v>117000</v>
      </c>
      <c r="O63" s="14">
        <v>0.50600000000000001</v>
      </c>
      <c r="P63" s="12">
        <f t="shared" si="12"/>
        <v>1156126.4822134387</v>
      </c>
      <c r="Q63" s="15">
        <f t="shared" si="13"/>
        <v>26.541011988370954</v>
      </c>
      <c r="R63" s="15">
        <f t="shared" si="14"/>
        <v>5.5182166617667869</v>
      </c>
      <c r="S63" s="10" t="s">
        <v>24</v>
      </c>
    </row>
    <row r="64" spans="1:19" x14ac:dyDescent="0.25">
      <c r="A64" s="10" t="s">
        <v>2568</v>
      </c>
      <c r="B64" s="10" t="s">
        <v>2569</v>
      </c>
      <c r="C64" s="10" t="s">
        <v>2563</v>
      </c>
      <c r="D64" s="11">
        <v>45051</v>
      </c>
      <c r="E64" s="12">
        <v>787000</v>
      </c>
      <c r="F64" s="10" t="s">
        <v>29</v>
      </c>
      <c r="G64" s="10" t="s">
        <v>23</v>
      </c>
      <c r="H64" s="12">
        <v>787000</v>
      </c>
      <c r="I64" s="12">
        <v>348180</v>
      </c>
      <c r="J64" s="13">
        <f t="shared" si="10"/>
        <v>44.241423125794157</v>
      </c>
      <c r="K64" s="12">
        <v>696350</v>
      </c>
      <c r="L64" s="12">
        <f>H64-549270</f>
        <v>237730</v>
      </c>
      <c r="M64" s="12">
        <v>147080</v>
      </c>
      <c r="N64" s="12">
        <f t="shared" si="11"/>
        <v>157400</v>
      </c>
      <c r="O64" s="14">
        <v>0.52300000000000002</v>
      </c>
      <c r="P64" s="12">
        <f t="shared" si="12"/>
        <v>454550.66921606119</v>
      </c>
      <c r="Q64" s="15">
        <f t="shared" si="13"/>
        <v>10.435047502664398</v>
      </c>
      <c r="R64" s="15">
        <f t="shared" si="14"/>
        <v>6.4560080204092021</v>
      </c>
      <c r="S64" s="10" t="s">
        <v>24</v>
      </c>
    </row>
    <row r="65" spans="1:19" x14ac:dyDescent="0.25">
      <c r="A65" s="10" t="s">
        <v>2570</v>
      </c>
      <c r="B65" s="10" t="s">
        <v>2571</v>
      </c>
      <c r="C65" s="10" t="s">
        <v>2563</v>
      </c>
      <c r="D65" s="11">
        <v>45565</v>
      </c>
      <c r="E65" s="12">
        <v>800018</v>
      </c>
      <c r="F65" s="10" t="s">
        <v>29</v>
      </c>
      <c r="G65" s="10" t="s">
        <v>23</v>
      </c>
      <c r="H65" s="12">
        <v>800018</v>
      </c>
      <c r="I65" s="12">
        <v>370950</v>
      </c>
      <c r="J65" s="13">
        <f t="shared" si="10"/>
        <v>46.367706726598648</v>
      </c>
      <c r="K65" s="12">
        <v>741891</v>
      </c>
      <c r="L65" s="12">
        <f>H65-594092</f>
        <v>205926</v>
      </c>
      <c r="M65" s="12">
        <v>147799</v>
      </c>
      <c r="N65" s="12">
        <f t="shared" si="11"/>
        <v>160003.6</v>
      </c>
      <c r="O65" s="14">
        <v>0.52600000000000002</v>
      </c>
      <c r="P65" s="12">
        <f t="shared" si="12"/>
        <v>391494.29657794675</v>
      </c>
      <c r="Q65" s="15">
        <f t="shared" si="13"/>
        <v>8.9874723732311015</v>
      </c>
      <c r="R65" s="15">
        <f t="shared" si="14"/>
        <v>6.4505668506705494</v>
      </c>
      <c r="S65" s="10" t="s">
        <v>24</v>
      </c>
    </row>
    <row r="66" spans="1:19" x14ac:dyDescent="0.25">
      <c r="A66" s="10" t="s">
        <v>2572</v>
      </c>
      <c r="B66" s="10" t="s">
        <v>2573</v>
      </c>
      <c r="C66" s="10" t="s">
        <v>2563</v>
      </c>
      <c r="D66" s="11">
        <v>45394</v>
      </c>
      <c r="E66" s="12">
        <v>900000</v>
      </c>
      <c r="F66" s="10" t="s">
        <v>29</v>
      </c>
      <c r="G66" s="10" t="s">
        <v>23</v>
      </c>
      <c r="H66" s="12">
        <v>900000</v>
      </c>
      <c r="I66" s="12">
        <v>387180</v>
      </c>
      <c r="J66" s="13">
        <f t="shared" si="10"/>
        <v>43.02</v>
      </c>
      <c r="K66" s="12">
        <v>774356</v>
      </c>
      <c r="L66" s="12">
        <f>H66-568866</f>
        <v>331134</v>
      </c>
      <c r="M66" s="12">
        <v>205490</v>
      </c>
      <c r="N66" s="12">
        <f t="shared" si="11"/>
        <v>180000</v>
      </c>
      <c r="O66" s="14">
        <v>0.83399999999999996</v>
      </c>
      <c r="P66" s="12">
        <f t="shared" si="12"/>
        <v>397043.16546762589</v>
      </c>
      <c r="Q66" s="15">
        <f t="shared" si="13"/>
        <v>9.1148568748307142</v>
      </c>
      <c r="R66" s="15">
        <f t="shared" si="14"/>
        <v>5.6563564575336978</v>
      </c>
      <c r="S66" s="10" t="s">
        <v>24</v>
      </c>
    </row>
    <row r="67" spans="1:19" x14ac:dyDescent="0.25">
      <c r="A67" s="10" t="s">
        <v>2574</v>
      </c>
      <c r="B67" s="10" t="s">
        <v>2575</v>
      </c>
      <c r="C67" s="10" t="s">
        <v>2563</v>
      </c>
      <c r="D67" s="11">
        <v>45436</v>
      </c>
      <c r="E67" s="12">
        <v>825000</v>
      </c>
      <c r="F67" s="10" t="s">
        <v>22</v>
      </c>
      <c r="G67" s="10" t="s">
        <v>23</v>
      </c>
      <c r="H67" s="12">
        <v>825000</v>
      </c>
      <c r="I67" s="12">
        <v>351160</v>
      </c>
      <c r="J67" s="13">
        <f t="shared" si="10"/>
        <v>42.564848484848483</v>
      </c>
      <c r="K67" s="12">
        <v>702315</v>
      </c>
      <c r="L67" s="12">
        <f>H67-508517</f>
        <v>316483</v>
      </c>
      <c r="M67" s="12">
        <v>193798</v>
      </c>
      <c r="N67" s="12">
        <f t="shared" si="11"/>
        <v>165000</v>
      </c>
      <c r="O67" s="14">
        <v>0.71799999999999997</v>
      </c>
      <c r="P67" s="12">
        <f t="shared" si="12"/>
        <v>440784.12256267411</v>
      </c>
      <c r="Q67" s="15">
        <f t="shared" si="13"/>
        <v>10.119011078114649</v>
      </c>
      <c r="R67" s="15">
        <f t="shared" si="14"/>
        <v>6.1963647618243725</v>
      </c>
      <c r="S67" s="10" t="s">
        <v>24</v>
      </c>
    </row>
    <row r="68" spans="1:19" ht="15.75" thickBot="1" x14ac:dyDescent="0.3">
      <c r="A68" s="16"/>
      <c r="B68" s="16"/>
      <c r="C68" s="16"/>
      <c r="D68" s="17"/>
      <c r="E68" s="18"/>
      <c r="F68" s="16"/>
      <c r="G68" s="16"/>
      <c r="H68" s="18"/>
      <c r="I68" s="18"/>
      <c r="J68" s="19"/>
      <c r="K68" s="18"/>
      <c r="L68" s="18">
        <f>AVERAGE(L61:L67)</f>
        <v>424467.57142857142</v>
      </c>
      <c r="M68" s="18">
        <f>AVERAGE(M61:M67)</f>
        <v>166545.14285714287</v>
      </c>
      <c r="N68" s="18">
        <f>AVERAGE(N61:N67)</f>
        <v>148343.37142857144</v>
      </c>
      <c r="O68" s="20"/>
      <c r="P68" s="18"/>
      <c r="Q68" s="21">
        <f>AVERAGE(Q61:Q67)</f>
        <v>14.351099172354404</v>
      </c>
      <c r="R68" s="21">
        <f>AVERAGE(R61:R67)</f>
        <v>5.6919729450062331</v>
      </c>
      <c r="S68" s="16"/>
    </row>
    <row r="69" spans="1:19" ht="15.75" thickTop="1" x14ac:dyDescent="0.25">
      <c r="A69" s="10"/>
      <c r="B69" s="10"/>
      <c r="C69" s="10"/>
      <c r="D69" s="11"/>
      <c r="E69" s="12"/>
      <c r="F69" s="10"/>
      <c r="G69" s="10"/>
      <c r="H69" s="12"/>
      <c r="I69" s="12"/>
      <c r="J69" s="13"/>
      <c r="K69" s="12"/>
      <c r="L69" s="12"/>
      <c r="M69" s="12"/>
      <c r="N69" s="12"/>
      <c r="O69" s="14"/>
      <c r="P69" s="12"/>
      <c r="Q69" s="15"/>
      <c r="R69" s="15"/>
      <c r="S69" s="10"/>
    </row>
    <row r="70" spans="1:19" x14ac:dyDescent="0.25">
      <c r="A70" s="10"/>
      <c r="B70" s="10"/>
      <c r="C70" s="10"/>
      <c r="D70" s="11"/>
      <c r="E70" s="12"/>
      <c r="F70" s="10"/>
      <c r="G70" s="10"/>
      <c r="H70" s="12"/>
      <c r="I70" s="12"/>
      <c r="J70" s="13"/>
      <c r="K70" s="12"/>
      <c r="L70" s="12"/>
      <c r="M70" s="12"/>
      <c r="N70" s="12"/>
      <c r="O70" s="14"/>
      <c r="P70" s="12"/>
      <c r="Q70" s="15"/>
      <c r="R70" s="15"/>
      <c r="S70" s="10"/>
    </row>
    <row r="71" spans="1:19" x14ac:dyDescent="0.25">
      <c r="A71" s="10" t="s">
        <v>2576</v>
      </c>
      <c r="B71" s="10" t="s">
        <v>2577</v>
      </c>
      <c r="C71" s="10" t="s">
        <v>2578</v>
      </c>
      <c r="D71" s="11">
        <v>45082</v>
      </c>
      <c r="E71" s="12">
        <v>1395000</v>
      </c>
      <c r="F71" s="10" t="s">
        <v>22</v>
      </c>
      <c r="G71" s="10" t="s">
        <v>23</v>
      </c>
      <c r="H71" s="12">
        <v>1395000</v>
      </c>
      <c r="I71" s="12">
        <v>496850</v>
      </c>
      <c r="J71" s="13">
        <f>I71/H71*100</f>
        <v>35.616487455197131</v>
      </c>
      <c r="K71" s="12">
        <v>993708</v>
      </c>
      <c r="L71" s="12">
        <f>H71-768383</f>
        <v>626617</v>
      </c>
      <c r="M71" s="12">
        <v>225325</v>
      </c>
      <c r="N71" s="12">
        <f>E71*0.2</f>
        <v>279000</v>
      </c>
      <c r="O71" s="14">
        <v>0.71399999999999997</v>
      </c>
      <c r="P71" s="12">
        <f>L71/O71</f>
        <v>877614.84593837534</v>
      </c>
      <c r="Q71" s="15">
        <f>L71/O71/43560</f>
        <v>20.147264599136257</v>
      </c>
      <c r="R71" s="15">
        <f>M71/O71/43560</f>
        <v>7.2447482206840492</v>
      </c>
      <c r="S71" s="10" t="s">
        <v>97</v>
      </c>
    </row>
    <row r="72" spans="1:19" ht="15.75" thickBot="1" x14ac:dyDescent="0.3">
      <c r="A72" s="16"/>
      <c r="B72" s="16"/>
      <c r="C72" s="16"/>
      <c r="D72" s="17"/>
      <c r="E72" s="18"/>
      <c r="F72" s="16"/>
      <c r="G72" s="16"/>
      <c r="H72" s="18"/>
      <c r="I72" s="18"/>
      <c r="J72" s="19"/>
      <c r="K72" s="18"/>
      <c r="L72" s="18">
        <f>AVERAGE(L71)</f>
        <v>626617</v>
      </c>
      <c r="M72" s="18">
        <f>AVERAGE(M71)</f>
        <v>225325</v>
      </c>
      <c r="N72" s="18">
        <f>AVERAGE(N71)</f>
        <v>279000</v>
      </c>
      <c r="O72" s="20"/>
      <c r="P72" s="18"/>
      <c r="Q72" s="21">
        <f>AVERAGE(Q71)</f>
        <v>20.147264599136257</v>
      </c>
      <c r="R72" s="21">
        <f>AVERAGE(R71)</f>
        <v>7.2447482206840492</v>
      </c>
      <c r="S72" s="16"/>
    </row>
    <row r="73" spans="1:19" ht="15.75" thickTop="1" x14ac:dyDescent="0.25">
      <c r="A73" s="10"/>
      <c r="B73" s="10"/>
      <c r="C73" s="10"/>
      <c r="D73" s="11"/>
      <c r="E73" s="12"/>
      <c r="F73" s="10"/>
      <c r="G73" s="10"/>
      <c r="H73" s="12"/>
      <c r="I73" s="12"/>
      <c r="J73" s="13"/>
      <c r="K73" s="12"/>
      <c r="L73" s="12"/>
      <c r="M73" s="12"/>
      <c r="N73" s="12"/>
      <c r="O73" s="14"/>
      <c r="P73" s="12"/>
      <c r="Q73" s="15"/>
      <c r="R73" s="15"/>
      <c r="S73" s="10"/>
    </row>
    <row r="74" spans="1:19" x14ac:dyDescent="0.25">
      <c r="A74" s="10"/>
      <c r="B74" s="10"/>
      <c r="C74" s="10"/>
      <c r="D74" s="11"/>
      <c r="E74" s="12"/>
      <c r="F74" s="10"/>
      <c r="G74" s="10"/>
      <c r="H74" s="12"/>
      <c r="I74" s="12"/>
      <c r="J74" s="13"/>
      <c r="K74" s="12"/>
      <c r="L74" s="12"/>
      <c r="M74" s="12"/>
      <c r="N74" s="12"/>
      <c r="O74" s="14"/>
      <c r="P74" s="12"/>
      <c r="Q74" s="15"/>
      <c r="R74" s="15"/>
      <c r="S74" s="10"/>
    </row>
    <row r="75" spans="1:19" x14ac:dyDescent="0.25">
      <c r="A75" s="10" t="s">
        <v>2579</v>
      </c>
      <c r="B75" s="10" t="s">
        <v>2580</v>
      </c>
      <c r="C75" s="10" t="s">
        <v>2581</v>
      </c>
      <c r="D75" s="11">
        <v>45107</v>
      </c>
      <c r="E75" s="12">
        <v>1578325</v>
      </c>
      <c r="F75" s="10" t="s">
        <v>22</v>
      </c>
      <c r="G75" s="10" t="s">
        <v>23</v>
      </c>
      <c r="H75" s="12">
        <v>1578325</v>
      </c>
      <c r="I75" s="12">
        <v>771540</v>
      </c>
      <c r="J75" s="13">
        <f>I75/H75*100</f>
        <v>48.883468233728792</v>
      </c>
      <c r="K75" s="12">
        <v>1543071</v>
      </c>
      <c r="L75" s="12">
        <f>H75-1143071</f>
        <v>435254</v>
      </c>
      <c r="M75" s="12">
        <v>400000</v>
      </c>
      <c r="N75" s="12">
        <f>E75*0.2</f>
        <v>315665</v>
      </c>
      <c r="O75" s="14">
        <v>0</v>
      </c>
      <c r="P75" s="12" t="e">
        <f>L75/O75</f>
        <v>#DIV/0!</v>
      </c>
      <c r="Q75" s="15" t="e">
        <f>L75/O75/43560</f>
        <v>#DIV/0!</v>
      </c>
      <c r="R75" s="15" t="e">
        <f>M75/O75/43560</f>
        <v>#DIV/0!</v>
      </c>
      <c r="S75" s="10" t="s">
        <v>97</v>
      </c>
    </row>
    <row r="76" spans="1:19" x14ac:dyDescent="0.25">
      <c r="A76" s="10" t="s">
        <v>2582</v>
      </c>
      <c r="B76" s="10" t="s">
        <v>2583</v>
      </c>
      <c r="C76" s="10" t="s">
        <v>2581</v>
      </c>
      <c r="D76" s="11">
        <v>45040</v>
      </c>
      <c r="E76" s="12">
        <v>1630000</v>
      </c>
      <c r="F76" s="10" t="s">
        <v>29</v>
      </c>
      <c r="G76" s="10" t="s">
        <v>23</v>
      </c>
      <c r="H76" s="12">
        <v>1630000</v>
      </c>
      <c r="I76" s="12">
        <v>828440</v>
      </c>
      <c r="J76" s="13">
        <f>I76/H76*100</f>
        <v>50.824539877300609</v>
      </c>
      <c r="K76" s="12">
        <v>1656887</v>
      </c>
      <c r="L76" s="12">
        <f>H76-1256887</f>
        <v>373113</v>
      </c>
      <c r="M76" s="12">
        <v>400000</v>
      </c>
      <c r="N76" s="12">
        <f>E76*0.2</f>
        <v>326000</v>
      </c>
      <c r="O76" s="14">
        <v>0</v>
      </c>
      <c r="P76" s="12" t="e">
        <f>L76/O76</f>
        <v>#DIV/0!</v>
      </c>
      <c r="Q76" s="15" t="e">
        <f>L76/O76/43560</f>
        <v>#DIV/0!</v>
      </c>
      <c r="R76" s="15" t="e">
        <f>M76/O76/43560</f>
        <v>#DIV/0!</v>
      </c>
      <c r="S76" s="10" t="s">
        <v>97</v>
      </c>
    </row>
    <row r="77" spans="1:19" x14ac:dyDescent="0.25">
      <c r="A77" s="10" t="s">
        <v>2584</v>
      </c>
      <c r="B77" s="10" t="s">
        <v>2585</v>
      </c>
      <c r="C77" s="10" t="s">
        <v>2581</v>
      </c>
      <c r="D77" s="11">
        <v>45414</v>
      </c>
      <c r="E77" s="12">
        <v>1825000</v>
      </c>
      <c r="F77" s="10" t="s">
        <v>22</v>
      </c>
      <c r="G77" s="10" t="s">
        <v>23</v>
      </c>
      <c r="H77" s="12">
        <v>1825000</v>
      </c>
      <c r="I77" s="12">
        <v>692520</v>
      </c>
      <c r="J77" s="13">
        <f>I77/H77*100</f>
        <v>37.946301369863008</v>
      </c>
      <c r="K77" s="12">
        <v>1385034</v>
      </c>
      <c r="L77" s="12">
        <f>H77-985034</f>
        <v>839966</v>
      </c>
      <c r="M77" s="12">
        <v>400000</v>
      </c>
      <c r="N77" s="12">
        <f>E77*0.2</f>
        <v>365000</v>
      </c>
      <c r="O77" s="14">
        <v>0</v>
      </c>
      <c r="P77" s="12" t="e">
        <f>L77/O77</f>
        <v>#DIV/0!</v>
      </c>
      <c r="Q77" s="15" t="e">
        <f>L77/O77/43560</f>
        <v>#DIV/0!</v>
      </c>
      <c r="R77" s="15" t="e">
        <f>M77/O77/43560</f>
        <v>#DIV/0!</v>
      </c>
      <c r="S77" s="10" t="s">
        <v>97</v>
      </c>
    </row>
    <row r="78" spans="1:19" x14ac:dyDescent="0.25">
      <c r="A78" s="10" t="s">
        <v>2586</v>
      </c>
      <c r="B78" s="10" t="s">
        <v>2587</v>
      </c>
      <c r="C78" s="10" t="s">
        <v>2581</v>
      </c>
      <c r="D78" s="11">
        <v>45520</v>
      </c>
      <c r="E78" s="12">
        <v>1878227</v>
      </c>
      <c r="F78" s="10" t="s">
        <v>22</v>
      </c>
      <c r="G78" s="10" t="s">
        <v>23</v>
      </c>
      <c r="H78" s="12">
        <v>1878227</v>
      </c>
      <c r="I78" s="12">
        <v>456890</v>
      </c>
      <c r="J78" s="13">
        <f>I78/H78*100</f>
        <v>24.32560068617904</v>
      </c>
      <c r="K78" s="12">
        <v>913773</v>
      </c>
      <c r="L78" s="12">
        <f>H78-513773</f>
        <v>1364454</v>
      </c>
      <c r="M78" s="12">
        <v>400000</v>
      </c>
      <c r="N78" s="12">
        <f>E78*0.2</f>
        <v>375645.4</v>
      </c>
      <c r="O78" s="14">
        <v>0</v>
      </c>
      <c r="P78" s="12" t="e">
        <f>L78/O78</f>
        <v>#DIV/0!</v>
      </c>
      <c r="Q78" s="15" t="e">
        <f>L78/O78/43560</f>
        <v>#DIV/0!</v>
      </c>
      <c r="R78" s="15" t="e">
        <f>M78/O78/43560</f>
        <v>#DIV/0!</v>
      </c>
      <c r="S78" s="10" t="s">
        <v>97</v>
      </c>
    </row>
    <row r="79" spans="1:19" x14ac:dyDescent="0.25">
      <c r="A79" s="10" t="s">
        <v>2588</v>
      </c>
      <c r="B79" s="10" t="s">
        <v>2589</v>
      </c>
      <c r="C79" s="10" t="s">
        <v>2581</v>
      </c>
      <c r="D79" s="11">
        <v>45289</v>
      </c>
      <c r="E79" s="12">
        <v>2061769</v>
      </c>
      <c r="F79" s="10" t="s">
        <v>22</v>
      </c>
      <c r="G79" s="10" t="s">
        <v>23</v>
      </c>
      <c r="H79" s="12">
        <v>2061769</v>
      </c>
      <c r="I79" s="12">
        <v>827220</v>
      </c>
      <c r="J79" s="13">
        <f>I79/H79*100</f>
        <v>40.121856522238915</v>
      </c>
      <c r="K79" s="12">
        <v>1654434</v>
      </c>
      <c r="L79" s="12">
        <f>H79-1254434</f>
        <v>807335</v>
      </c>
      <c r="M79" s="12">
        <v>400000</v>
      </c>
      <c r="N79" s="12">
        <f>E79*0.2</f>
        <v>412353.80000000005</v>
      </c>
      <c r="O79" s="14">
        <v>0</v>
      </c>
      <c r="P79" s="12" t="e">
        <f>L79/O79</f>
        <v>#DIV/0!</v>
      </c>
      <c r="Q79" s="15" t="e">
        <f>L79/O79/43560</f>
        <v>#DIV/0!</v>
      </c>
      <c r="R79" s="15" t="e">
        <f>M79/O79/43560</f>
        <v>#DIV/0!</v>
      </c>
      <c r="S79" s="10" t="s">
        <v>97</v>
      </c>
    </row>
    <row r="80" spans="1:19" ht="15.75" thickBot="1" x14ac:dyDescent="0.3">
      <c r="A80" s="16"/>
      <c r="B80" s="16"/>
      <c r="C80" s="16"/>
      <c r="D80" s="17"/>
      <c r="E80" s="18"/>
      <c r="F80" s="16"/>
      <c r="G80" s="16"/>
      <c r="H80" s="18"/>
      <c r="I80" s="18"/>
      <c r="J80" s="19"/>
      <c r="K80" s="18"/>
      <c r="L80" s="18">
        <f>AVERAGE(L75:L79)</f>
        <v>764024.4</v>
      </c>
      <c r="M80" s="18">
        <f>AVERAGE(M75:M79)</f>
        <v>400000</v>
      </c>
      <c r="N80" s="18">
        <f>AVERAGE(N75:N79)</f>
        <v>358932.83999999997</v>
      </c>
      <c r="O80" s="20"/>
      <c r="P80" s="18"/>
      <c r="Q80" s="21"/>
      <c r="R80" s="21"/>
      <c r="S80" s="16"/>
    </row>
    <row r="81" ht="15.75" thickTop="1" x14ac:dyDescent="0.25"/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F1535-9DF9-4C9D-98F3-ABCCF27D45C2}">
  <dimension ref="A1:S48"/>
  <sheetViews>
    <sheetView workbookViewId="0">
      <selection sqref="A1:S1"/>
    </sheetView>
  </sheetViews>
  <sheetFormatPr defaultRowHeight="15" x14ac:dyDescent="0.25"/>
  <cols>
    <col min="1" max="1" width="12.42578125" bestFit="1" customWidth="1"/>
    <col min="2" max="2" width="18.140625" bestFit="1" customWidth="1"/>
    <col min="3" max="3" width="12.5703125" bestFit="1" customWidth="1"/>
    <col min="7" max="7" width="13.140625" bestFit="1" customWidth="1"/>
    <col min="13" max="13" width="10.8554687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180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2590</v>
      </c>
      <c r="B2" s="10" t="s">
        <v>2591</v>
      </c>
      <c r="C2" s="10" t="s">
        <v>2592</v>
      </c>
      <c r="D2" s="11">
        <v>45504</v>
      </c>
      <c r="E2" s="12">
        <v>525000</v>
      </c>
      <c r="F2" s="10" t="s">
        <v>29</v>
      </c>
      <c r="G2" s="10" t="s">
        <v>23</v>
      </c>
      <c r="H2" s="12">
        <v>525000</v>
      </c>
      <c r="I2" s="12">
        <v>294260</v>
      </c>
      <c r="J2" s="13">
        <f>I2/H2*100</f>
        <v>56.049523809523805</v>
      </c>
      <c r="K2" s="12">
        <v>588524</v>
      </c>
      <c r="L2" s="12">
        <f>H2-407036</f>
        <v>117964</v>
      </c>
      <c r="M2" s="12">
        <v>181488</v>
      </c>
      <c r="N2" s="12">
        <f>E2*0.2</f>
        <v>105000</v>
      </c>
      <c r="O2" s="14">
        <v>0.99199999999999999</v>
      </c>
      <c r="P2" s="12">
        <f>L2/O2</f>
        <v>118915.32258064517</v>
      </c>
      <c r="Q2" s="15">
        <f>L2/O2/43560</f>
        <v>2.7299201694362987</v>
      </c>
      <c r="R2" s="15">
        <f>M2/O2/43560</f>
        <v>4.1999911134808494</v>
      </c>
      <c r="S2" s="10" t="s">
        <v>24</v>
      </c>
    </row>
    <row r="3" spans="1:19" x14ac:dyDescent="0.25">
      <c r="A3" s="10" t="s">
        <v>2593</v>
      </c>
      <c r="B3" s="10" t="s">
        <v>2594</v>
      </c>
      <c r="C3" s="10" t="s">
        <v>2592</v>
      </c>
      <c r="D3" s="11">
        <v>45495</v>
      </c>
      <c r="E3" s="12">
        <v>1287500</v>
      </c>
      <c r="F3" s="10" t="s">
        <v>29</v>
      </c>
      <c r="G3" s="10" t="s">
        <v>23</v>
      </c>
      <c r="H3" s="12">
        <v>1287500</v>
      </c>
      <c r="I3" s="12">
        <v>638800</v>
      </c>
      <c r="J3" s="13">
        <f>I3/H3*100</f>
        <v>49.615533980582526</v>
      </c>
      <c r="K3" s="12">
        <v>1277603</v>
      </c>
      <c r="L3" s="12">
        <f>H3-1117886</f>
        <v>169614</v>
      </c>
      <c r="M3" s="12">
        <v>159717</v>
      </c>
      <c r="N3" s="12">
        <f>E3*0.2</f>
        <v>257500</v>
      </c>
      <c r="O3" s="14">
        <v>0.873</v>
      </c>
      <c r="P3" s="12">
        <f>L3/O3</f>
        <v>194288.65979381444</v>
      </c>
      <c r="Q3" s="15">
        <f>L3/O3/43560</f>
        <v>4.4602538979296247</v>
      </c>
      <c r="R3" s="15">
        <f>M3/O3/43560</f>
        <v>4.19999747553637</v>
      </c>
      <c r="S3" s="10" t="s">
        <v>24</v>
      </c>
    </row>
    <row r="4" spans="1:19" x14ac:dyDescent="0.25">
      <c r="A4" s="10" t="s">
        <v>2595</v>
      </c>
      <c r="B4" s="10" t="s">
        <v>2596</v>
      </c>
      <c r="C4" s="10" t="s">
        <v>2592</v>
      </c>
      <c r="D4" s="11">
        <v>45100</v>
      </c>
      <c r="E4" s="12">
        <v>750000</v>
      </c>
      <c r="F4" s="10" t="s">
        <v>29</v>
      </c>
      <c r="G4" s="10" t="s">
        <v>23</v>
      </c>
      <c r="H4" s="12">
        <v>750000</v>
      </c>
      <c r="I4" s="12">
        <v>361570</v>
      </c>
      <c r="J4" s="13">
        <f>I4/H4*100</f>
        <v>48.209333333333333</v>
      </c>
      <c r="K4" s="12">
        <v>723140</v>
      </c>
      <c r="L4" s="12">
        <f>H4-533811</f>
        <v>216189</v>
      </c>
      <c r="M4" s="12">
        <v>189329</v>
      </c>
      <c r="N4" s="12">
        <f>E4*0.2</f>
        <v>150000</v>
      </c>
      <c r="O4" s="14">
        <v>1.1220000000000001</v>
      </c>
      <c r="P4" s="12">
        <f>L4/O4</f>
        <v>192681.81818181818</v>
      </c>
      <c r="Q4" s="15">
        <f>L4/O4/43560</f>
        <v>4.4233658903080393</v>
      </c>
      <c r="R4" s="15">
        <f>M4/O4/43560</f>
        <v>3.8737930266855884</v>
      </c>
      <c r="S4" s="10" t="s">
        <v>24</v>
      </c>
    </row>
    <row r="5" spans="1:19" ht="15.75" thickBot="1" x14ac:dyDescent="0.3">
      <c r="A5" s="16"/>
      <c r="B5" s="16"/>
      <c r="C5" s="16"/>
      <c r="D5" s="17"/>
      <c r="E5" s="18"/>
      <c r="F5" s="16"/>
      <c r="G5" s="16"/>
      <c r="H5" s="18"/>
      <c r="I5" s="18"/>
      <c r="J5" s="19"/>
      <c r="K5" s="18"/>
      <c r="L5" s="18">
        <f>AVERAGE(L2:L4)</f>
        <v>167922.33333333334</v>
      </c>
      <c r="M5" s="18">
        <f>AVERAGE(M2:M4)</f>
        <v>176844.66666666666</v>
      </c>
      <c r="N5" s="18">
        <f>AVERAGE(N2:N4)</f>
        <v>170833.33333333334</v>
      </c>
      <c r="O5" s="20"/>
      <c r="P5" s="18"/>
      <c r="Q5" s="21">
        <f>AVERAGE(Q2:Q4)</f>
        <v>3.8711799858913207</v>
      </c>
      <c r="R5" s="21">
        <f>AVERAGE(R2:R4)</f>
        <v>4.0912605385676022</v>
      </c>
      <c r="S5" s="16"/>
    </row>
    <row r="6" spans="1:19" ht="15.75" thickTop="1" x14ac:dyDescent="0.25">
      <c r="A6" s="10"/>
      <c r="B6" s="10"/>
      <c r="C6" s="10"/>
      <c r="D6" s="11"/>
      <c r="E6" s="12"/>
      <c r="F6" s="10"/>
      <c r="G6" s="10"/>
      <c r="H6" s="12"/>
      <c r="I6" s="12"/>
      <c r="J6" s="13"/>
      <c r="K6" s="12"/>
      <c r="L6" s="12"/>
      <c r="M6" s="12"/>
      <c r="N6" s="12"/>
      <c r="O6" s="14"/>
      <c r="P6" s="12"/>
      <c r="Q6" s="15"/>
      <c r="R6" s="15"/>
      <c r="S6" s="10"/>
    </row>
    <row r="7" spans="1:19" x14ac:dyDescent="0.25">
      <c r="A7" s="10"/>
      <c r="B7" s="10"/>
      <c r="C7" s="10"/>
      <c r="D7" s="11"/>
      <c r="E7" s="12"/>
      <c r="F7" s="10"/>
      <c r="G7" s="10"/>
      <c r="H7" s="12"/>
      <c r="I7" s="12"/>
      <c r="J7" s="13"/>
      <c r="K7" s="12"/>
      <c r="L7" s="12"/>
      <c r="M7" s="12"/>
      <c r="N7" s="12"/>
      <c r="O7" s="14"/>
      <c r="P7" s="12"/>
      <c r="Q7" s="15"/>
      <c r="R7" s="15"/>
      <c r="S7" s="10"/>
    </row>
    <row r="8" spans="1:19" x14ac:dyDescent="0.25">
      <c r="A8" s="10" t="s">
        <v>2597</v>
      </c>
      <c r="B8" s="10" t="s">
        <v>2598</v>
      </c>
      <c r="C8" s="10" t="s">
        <v>2599</v>
      </c>
      <c r="D8" s="11">
        <v>45387</v>
      </c>
      <c r="E8" s="12">
        <v>975000</v>
      </c>
      <c r="F8" s="10" t="s">
        <v>29</v>
      </c>
      <c r="G8" s="10" t="s">
        <v>23</v>
      </c>
      <c r="H8" s="12">
        <v>975000</v>
      </c>
      <c r="I8" s="12">
        <v>348630</v>
      </c>
      <c r="J8" s="13">
        <f>I8/H8*100</f>
        <v>35.756923076923073</v>
      </c>
      <c r="K8" s="12">
        <v>697252</v>
      </c>
      <c r="L8" s="12">
        <f>H8-548778</f>
        <v>426222</v>
      </c>
      <c r="M8" s="12">
        <v>148474</v>
      </c>
      <c r="N8" s="12">
        <f>E8*0.2</f>
        <v>195000</v>
      </c>
      <c r="O8" s="14">
        <v>0.40100000000000002</v>
      </c>
      <c r="P8" s="12">
        <f>L8/O8</f>
        <v>1062897.7556109724</v>
      </c>
      <c r="Q8" s="15">
        <f>L8/O8/43560</f>
        <v>24.400774922198632</v>
      </c>
      <c r="R8" s="15">
        <f>M8/O8/43560</f>
        <v>8.4999851152650958</v>
      </c>
      <c r="S8" s="10" t="s">
        <v>24</v>
      </c>
    </row>
    <row r="9" spans="1:19" ht="15.75" thickBot="1" x14ac:dyDescent="0.3">
      <c r="A9" s="16"/>
      <c r="B9" s="16"/>
      <c r="C9" s="16"/>
      <c r="D9" s="17"/>
      <c r="E9" s="18"/>
      <c r="F9" s="16"/>
      <c r="G9" s="16"/>
      <c r="H9" s="18"/>
      <c r="I9" s="18"/>
      <c r="J9" s="19"/>
      <c r="K9" s="18"/>
      <c r="L9" s="18">
        <f>AVERAGE(L8)</f>
        <v>426222</v>
      </c>
      <c r="M9" s="18">
        <f>AVERAGE(M8)</f>
        <v>148474</v>
      </c>
      <c r="N9" s="18">
        <f>AVERAGE(N8)</f>
        <v>195000</v>
      </c>
      <c r="O9" s="20"/>
      <c r="P9" s="18"/>
      <c r="Q9" s="21">
        <f>AVERAGE(Q8)</f>
        <v>24.400774922198632</v>
      </c>
      <c r="R9" s="21">
        <f>AVERAGE(R8)</f>
        <v>8.4999851152650958</v>
      </c>
      <c r="S9" s="16"/>
    </row>
    <row r="10" spans="1:19" ht="15.75" thickTop="1" x14ac:dyDescent="0.25">
      <c r="A10" s="10"/>
      <c r="B10" s="10"/>
      <c r="C10" s="10"/>
      <c r="D10" s="11"/>
      <c r="E10" s="12"/>
      <c r="F10" s="10"/>
      <c r="G10" s="10"/>
      <c r="H10" s="12"/>
      <c r="I10" s="12"/>
      <c r="J10" s="13"/>
      <c r="K10" s="12"/>
      <c r="L10" s="12"/>
      <c r="M10" s="12"/>
      <c r="N10" s="12"/>
      <c r="O10" s="14"/>
      <c r="P10" s="12"/>
      <c r="Q10" s="15"/>
      <c r="R10" s="15"/>
      <c r="S10" s="10"/>
    </row>
    <row r="11" spans="1:19" x14ac:dyDescent="0.25">
      <c r="A11" s="10"/>
      <c r="B11" s="10"/>
      <c r="C11" s="10"/>
      <c r="D11" s="11"/>
      <c r="E11" s="12"/>
      <c r="F11" s="10"/>
      <c r="G11" s="10"/>
      <c r="H11" s="12"/>
      <c r="I11" s="12"/>
      <c r="J11" s="13"/>
      <c r="K11" s="12"/>
      <c r="L11" s="12"/>
      <c r="M11" s="12"/>
      <c r="N11" s="12"/>
      <c r="O11" s="14"/>
      <c r="P11" s="12"/>
      <c r="Q11" s="15"/>
      <c r="R11" s="15"/>
      <c r="S11" s="10"/>
    </row>
    <row r="12" spans="1:19" x14ac:dyDescent="0.25">
      <c r="A12" s="10" t="s">
        <v>2600</v>
      </c>
      <c r="B12" s="10" t="s">
        <v>2601</v>
      </c>
      <c r="C12" s="10" t="s">
        <v>2602</v>
      </c>
      <c r="D12" s="11">
        <v>45581</v>
      </c>
      <c r="E12" s="12">
        <v>3070000</v>
      </c>
      <c r="F12" s="10" t="s">
        <v>29</v>
      </c>
      <c r="G12" s="10" t="s">
        <v>23</v>
      </c>
      <c r="H12" s="12">
        <v>3070000</v>
      </c>
      <c r="I12" s="12">
        <v>973800</v>
      </c>
      <c r="J12" s="13">
        <f>I12/H12*100</f>
        <v>31.719869706840392</v>
      </c>
      <c r="K12" s="12">
        <v>1947594</v>
      </c>
      <c r="L12" s="12">
        <f>H12-1634807</f>
        <v>1435193</v>
      </c>
      <c r="M12" s="12">
        <v>312787</v>
      </c>
      <c r="N12" s="12">
        <f>E12*0.2</f>
        <v>614000</v>
      </c>
      <c r="O12" s="14">
        <v>0.54300000000000004</v>
      </c>
      <c r="P12" s="12">
        <f>L12/O12</f>
        <v>2643081.0313075506</v>
      </c>
      <c r="Q12" s="15">
        <f>L12/O12/43560</f>
        <v>60.676791352331279</v>
      </c>
      <c r="R12" s="15">
        <f>M12/O12/43560</f>
        <v>13.223943773918659</v>
      </c>
      <c r="S12" s="10" t="s">
        <v>24</v>
      </c>
    </row>
    <row r="13" spans="1:19" x14ac:dyDescent="0.25">
      <c r="A13" s="10" t="s">
        <v>2603</v>
      </c>
      <c r="B13" s="10" t="s">
        <v>2604</v>
      </c>
      <c r="C13" s="10" t="s">
        <v>2602</v>
      </c>
      <c r="D13" s="11">
        <v>45687</v>
      </c>
      <c r="E13" s="12">
        <v>875000</v>
      </c>
      <c r="F13" s="10" t="s">
        <v>22</v>
      </c>
      <c r="G13" s="10" t="s">
        <v>23</v>
      </c>
      <c r="H13" s="12">
        <v>875000</v>
      </c>
      <c r="I13" s="12">
        <v>347480</v>
      </c>
      <c r="J13" s="13">
        <f>I13/H13*100</f>
        <v>39.711999999999996</v>
      </c>
      <c r="K13" s="12">
        <v>694958</v>
      </c>
      <c r="L13" s="12">
        <f>H13-552517</f>
        <v>322483</v>
      </c>
      <c r="M13" s="12">
        <v>142441</v>
      </c>
      <c r="N13" s="12">
        <f>E13*0.2</f>
        <v>175000</v>
      </c>
      <c r="O13" s="14">
        <v>0.32700000000000001</v>
      </c>
      <c r="P13" s="12">
        <f>L13/O13</f>
        <v>986186.54434250761</v>
      </c>
      <c r="Q13" s="15">
        <f>L13/O13/43560</f>
        <v>22.639727831554353</v>
      </c>
      <c r="R13" s="15">
        <f>M13/O13/43560</f>
        <v>9.99998595911857</v>
      </c>
      <c r="S13" s="10" t="s">
        <v>24</v>
      </c>
    </row>
    <row r="14" spans="1:19" x14ac:dyDescent="0.25">
      <c r="A14" s="10" t="s">
        <v>2605</v>
      </c>
      <c r="B14" s="10" t="s">
        <v>2606</v>
      </c>
      <c r="C14" s="10" t="s">
        <v>2602</v>
      </c>
      <c r="D14" s="11">
        <v>45127</v>
      </c>
      <c r="E14" s="12">
        <v>862000</v>
      </c>
      <c r="F14" s="10" t="s">
        <v>29</v>
      </c>
      <c r="G14" s="10" t="s">
        <v>23</v>
      </c>
      <c r="H14" s="12">
        <v>862000</v>
      </c>
      <c r="I14" s="12">
        <v>433920</v>
      </c>
      <c r="J14" s="13">
        <f>I14/H14*100</f>
        <v>50.338747099767978</v>
      </c>
      <c r="K14" s="12">
        <v>867845</v>
      </c>
      <c r="L14" s="12">
        <f>H14-641812</f>
        <v>220188</v>
      </c>
      <c r="M14" s="12">
        <v>226033</v>
      </c>
      <c r="N14" s="12">
        <f>E14*0.2</f>
        <v>172400</v>
      </c>
      <c r="O14" s="14">
        <v>0.56299999999999994</v>
      </c>
      <c r="P14" s="12">
        <f>L14/O14</f>
        <v>391097.69094138546</v>
      </c>
      <c r="Q14" s="15">
        <f>L14/O14/43560</f>
        <v>8.9783675606378672</v>
      </c>
      <c r="R14" s="15">
        <f>M14/O14/43560</f>
        <v>9.2167027941289206</v>
      </c>
      <c r="S14" s="10" t="s">
        <v>24</v>
      </c>
    </row>
    <row r="15" spans="1:19" x14ac:dyDescent="0.25">
      <c r="A15" s="10" t="s">
        <v>2607</v>
      </c>
      <c r="B15" s="10" t="s">
        <v>2608</v>
      </c>
      <c r="C15" s="10" t="s">
        <v>2602</v>
      </c>
      <c r="D15" s="11">
        <v>45400</v>
      </c>
      <c r="E15" s="12">
        <v>640000</v>
      </c>
      <c r="F15" s="10" t="s">
        <v>22</v>
      </c>
      <c r="G15" s="10" t="s">
        <v>23</v>
      </c>
      <c r="H15" s="12">
        <v>640000</v>
      </c>
      <c r="I15" s="12">
        <v>118370</v>
      </c>
      <c r="J15" s="13">
        <f>I15/H15*100</f>
        <v>18.495312500000001</v>
      </c>
      <c r="K15" s="12">
        <v>236749</v>
      </c>
      <c r="L15" s="12">
        <f>H15-0</f>
        <v>640000</v>
      </c>
      <c r="M15" s="12">
        <v>236749</v>
      </c>
      <c r="N15" s="12">
        <f>E15*0.2</f>
        <v>128000</v>
      </c>
      <c r="O15" s="14">
        <v>0.64500000000000002</v>
      </c>
      <c r="P15" s="12">
        <f>L15/O15</f>
        <v>992248.06201550388</v>
      </c>
      <c r="Q15" s="15">
        <f>L15/O15/43560</f>
        <v>22.778881129832506</v>
      </c>
      <c r="R15" s="15">
        <f>M15/O15/43560</f>
        <v>8.4263708259479912</v>
      </c>
      <c r="S15" s="10" t="s">
        <v>24</v>
      </c>
    </row>
    <row r="16" spans="1:19" x14ac:dyDescent="0.25">
      <c r="A16" s="10" t="s">
        <v>2609</v>
      </c>
      <c r="B16" s="10" t="s">
        <v>2610</v>
      </c>
      <c r="C16" s="10" t="s">
        <v>2602</v>
      </c>
      <c r="D16" s="11">
        <v>45603</v>
      </c>
      <c r="E16" s="12">
        <v>1076000</v>
      </c>
      <c r="F16" s="10" t="s">
        <v>29</v>
      </c>
      <c r="G16" s="10" t="s">
        <v>23</v>
      </c>
      <c r="H16" s="12">
        <v>1076000</v>
      </c>
      <c r="I16" s="12">
        <v>305040</v>
      </c>
      <c r="J16" s="13">
        <f>I16/H16*100</f>
        <v>28.349442379182154</v>
      </c>
      <c r="K16" s="12">
        <v>610070</v>
      </c>
      <c r="L16" s="12">
        <f>H16-396384</f>
        <v>679616</v>
      </c>
      <c r="M16" s="12">
        <v>213686</v>
      </c>
      <c r="N16" s="12">
        <f>E16*0.2</f>
        <v>215200</v>
      </c>
      <c r="O16" s="14">
        <v>0.76700000000000002</v>
      </c>
      <c r="P16" s="12">
        <f>L16/O16</f>
        <v>886070.40417209908</v>
      </c>
      <c r="Q16" s="15">
        <f>L16/O16/43560</f>
        <v>20.341377506246534</v>
      </c>
      <c r="R16" s="15">
        <f>M16/O16/43560</f>
        <v>6.3957699550919891</v>
      </c>
      <c r="S16" s="10" t="s">
        <v>24</v>
      </c>
    </row>
    <row r="17" spans="1:19" ht="15.75" thickBot="1" x14ac:dyDescent="0.3">
      <c r="A17" s="16"/>
      <c r="B17" s="16"/>
      <c r="C17" s="16"/>
      <c r="D17" s="17"/>
      <c r="E17" s="18"/>
      <c r="F17" s="16"/>
      <c r="G17" s="16"/>
      <c r="H17" s="18"/>
      <c r="I17" s="18"/>
      <c r="J17" s="19"/>
      <c r="K17" s="18"/>
      <c r="L17" s="18">
        <f>AVERAGE(L12:L16)</f>
        <v>659496</v>
      </c>
      <c r="M17" s="18">
        <f>AVERAGE(M12:M16)</f>
        <v>226339.20000000001</v>
      </c>
      <c r="N17" s="18">
        <f>AVERAGE(N12:N16)</f>
        <v>260920</v>
      </c>
      <c r="O17" s="20"/>
      <c r="P17" s="18"/>
      <c r="Q17" s="21">
        <f>AVERAGE(Q12:Q16)</f>
        <v>27.083029076120511</v>
      </c>
      <c r="R17" s="21">
        <f>AVERAGE(R12:R16)</f>
        <v>9.4525546616412264</v>
      </c>
      <c r="S17" s="16"/>
    </row>
    <row r="18" spans="1:19" ht="15.75" thickTop="1" x14ac:dyDescent="0.25">
      <c r="A18" s="10"/>
      <c r="B18" s="10"/>
      <c r="C18" s="10"/>
      <c r="D18" s="11"/>
      <c r="E18" s="12"/>
      <c r="F18" s="10"/>
      <c r="G18" s="10"/>
      <c r="H18" s="12"/>
      <c r="I18" s="12"/>
      <c r="J18" s="13"/>
      <c r="K18" s="12"/>
      <c r="L18" s="12"/>
      <c r="M18" s="12"/>
      <c r="N18" s="12"/>
      <c r="O18" s="14"/>
      <c r="P18" s="12"/>
      <c r="Q18" s="15"/>
      <c r="R18" s="15"/>
      <c r="S18" s="10"/>
    </row>
    <row r="19" spans="1:19" x14ac:dyDescent="0.25">
      <c r="A19" s="10"/>
      <c r="B19" s="10"/>
      <c r="C19" s="10"/>
      <c r="D19" s="11"/>
      <c r="E19" s="12"/>
      <c r="F19" s="10"/>
      <c r="G19" s="10"/>
      <c r="H19" s="12"/>
      <c r="I19" s="12"/>
      <c r="J19" s="13"/>
      <c r="K19" s="12"/>
      <c r="L19" s="12"/>
      <c r="M19" s="12"/>
      <c r="N19" s="12"/>
      <c r="O19" s="14"/>
      <c r="P19" s="12"/>
      <c r="Q19" s="15"/>
      <c r="R19" s="15"/>
      <c r="S19" s="10"/>
    </row>
    <row r="20" spans="1:19" x14ac:dyDescent="0.25">
      <c r="A20" s="10" t="s">
        <v>2611</v>
      </c>
      <c r="B20" s="10" t="s">
        <v>2612</v>
      </c>
      <c r="C20" s="10" t="s">
        <v>2613</v>
      </c>
      <c r="D20" s="11">
        <v>45427</v>
      </c>
      <c r="E20" s="12">
        <v>589000</v>
      </c>
      <c r="F20" s="10" t="s">
        <v>22</v>
      </c>
      <c r="G20" s="10" t="s">
        <v>23</v>
      </c>
      <c r="H20" s="12">
        <v>589000</v>
      </c>
      <c r="I20" s="12">
        <v>326720</v>
      </c>
      <c r="J20" s="13">
        <f t="shared" ref="J20:J34" si="0">I20/H20*100</f>
        <v>55.470288624787777</v>
      </c>
      <c r="K20" s="12">
        <v>653436</v>
      </c>
      <c r="L20" s="12">
        <f>H20-464900</f>
        <v>124100</v>
      </c>
      <c r="M20" s="12">
        <v>188536</v>
      </c>
      <c r="N20" s="12">
        <f t="shared" ref="N20:N34" si="1">E20*0.2</f>
        <v>117800</v>
      </c>
      <c r="O20" s="14">
        <v>0.74</v>
      </c>
      <c r="P20" s="12">
        <f t="shared" ref="P20:P34" si="2">L20/O20</f>
        <v>167702.70270270269</v>
      </c>
      <c r="Q20" s="15">
        <f t="shared" ref="Q20:Q34" si="3">L20/O20/43560</f>
        <v>3.8499243044697589</v>
      </c>
      <c r="R20" s="15">
        <f t="shared" ref="R20:R34" si="4">M20/O20/43560</f>
        <v>5.8489067579976668</v>
      </c>
      <c r="S20" s="10" t="s">
        <v>24</v>
      </c>
    </row>
    <row r="21" spans="1:19" x14ac:dyDescent="0.25">
      <c r="A21" s="10" t="s">
        <v>2614</v>
      </c>
      <c r="B21" s="10" t="s">
        <v>2615</v>
      </c>
      <c r="C21" s="10" t="s">
        <v>2613</v>
      </c>
      <c r="D21" s="11">
        <v>45629</v>
      </c>
      <c r="E21" s="12">
        <v>900000</v>
      </c>
      <c r="F21" s="10" t="s">
        <v>29</v>
      </c>
      <c r="G21" s="10" t="s">
        <v>23</v>
      </c>
      <c r="H21" s="12">
        <v>900000</v>
      </c>
      <c r="I21" s="12">
        <v>324740</v>
      </c>
      <c r="J21" s="13">
        <f t="shared" si="0"/>
        <v>36.082222222222221</v>
      </c>
      <c r="K21" s="12">
        <v>649479</v>
      </c>
      <c r="L21" s="12">
        <f>H21-451692</f>
        <v>448308</v>
      </c>
      <c r="M21" s="12">
        <v>197787</v>
      </c>
      <c r="N21" s="12">
        <f t="shared" si="1"/>
        <v>180000</v>
      </c>
      <c r="O21" s="14">
        <v>0.88300000000000001</v>
      </c>
      <c r="P21" s="12">
        <f t="shared" si="2"/>
        <v>507710.07927519816</v>
      </c>
      <c r="Q21" s="15">
        <f t="shared" si="3"/>
        <v>11.655419634416853</v>
      </c>
      <c r="R21" s="15">
        <f t="shared" si="4"/>
        <v>5.1422024216217563</v>
      </c>
      <c r="S21" s="10" t="s">
        <v>24</v>
      </c>
    </row>
    <row r="22" spans="1:19" x14ac:dyDescent="0.25">
      <c r="A22" s="10" t="s">
        <v>2616</v>
      </c>
      <c r="B22" s="10" t="s">
        <v>2617</v>
      </c>
      <c r="C22" s="10" t="s">
        <v>2613</v>
      </c>
      <c r="D22" s="11">
        <v>45504</v>
      </c>
      <c r="E22" s="12">
        <v>1100000</v>
      </c>
      <c r="F22" s="10" t="s">
        <v>29</v>
      </c>
      <c r="G22" s="10" t="s">
        <v>23</v>
      </c>
      <c r="H22" s="12">
        <v>1100000</v>
      </c>
      <c r="I22" s="12">
        <v>426240</v>
      </c>
      <c r="J22" s="13">
        <f t="shared" si="0"/>
        <v>38.74909090909091</v>
      </c>
      <c r="K22" s="12">
        <v>852481</v>
      </c>
      <c r="L22" s="12">
        <f>H22-607569</f>
        <v>492431</v>
      </c>
      <c r="M22" s="12">
        <v>244912</v>
      </c>
      <c r="N22" s="12">
        <f t="shared" si="1"/>
        <v>220000</v>
      </c>
      <c r="O22" s="14">
        <v>1.5089999999999999</v>
      </c>
      <c r="P22" s="12">
        <f t="shared" si="2"/>
        <v>326329.35719019221</v>
      </c>
      <c r="Q22" s="15">
        <f t="shared" si="3"/>
        <v>7.4914912118960562</v>
      </c>
      <c r="R22" s="15">
        <f t="shared" si="4"/>
        <v>3.7259150940698027</v>
      </c>
      <c r="S22" s="10" t="s">
        <v>24</v>
      </c>
    </row>
    <row r="23" spans="1:19" x14ac:dyDescent="0.25">
      <c r="A23" s="10" t="s">
        <v>2618</v>
      </c>
      <c r="B23" s="10" t="s">
        <v>2619</v>
      </c>
      <c r="C23" s="10" t="s">
        <v>2613</v>
      </c>
      <c r="D23" s="11">
        <v>45702</v>
      </c>
      <c r="E23" s="12">
        <v>380000</v>
      </c>
      <c r="F23" s="10" t="s">
        <v>29</v>
      </c>
      <c r="G23" s="10" t="s">
        <v>23</v>
      </c>
      <c r="H23" s="12">
        <v>380000</v>
      </c>
      <c r="I23" s="12">
        <v>113950</v>
      </c>
      <c r="J23" s="13">
        <f t="shared" si="0"/>
        <v>29.986842105263158</v>
      </c>
      <c r="K23" s="12">
        <v>227897</v>
      </c>
      <c r="L23" s="12">
        <f>H23-0</f>
        <v>380000</v>
      </c>
      <c r="M23" s="12">
        <v>227897</v>
      </c>
      <c r="N23" s="12">
        <f t="shared" si="1"/>
        <v>76000</v>
      </c>
      <c r="O23" s="14">
        <v>1.218</v>
      </c>
      <c r="P23" s="12">
        <f t="shared" si="2"/>
        <v>311986.86371100164</v>
      </c>
      <c r="Q23" s="15">
        <f t="shared" si="3"/>
        <v>7.1622328675620208</v>
      </c>
      <c r="R23" s="15">
        <f t="shared" si="4"/>
        <v>4.2953983784704786</v>
      </c>
      <c r="S23" s="10" t="s">
        <v>24</v>
      </c>
    </row>
    <row r="24" spans="1:19" x14ac:dyDescent="0.25">
      <c r="A24" s="10" t="s">
        <v>2620</v>
      </c>
      <c r="B24" s="10" t="s">
        <v>2621</v>
      </c>
      <c r="C24" s="10" t="s">
        <v>2613</v>
      </c>
      <c r="D24" s="11">
        <v>45271</v>
      </c>
      <c r="E24" s="12">
        <v>585000</v>
      </c>
      <c r="F24" s="10" t="s">
        <v>22</v>
      </c>
      <c r="G24" s="10" t="s">
        <v>23</v>
      </c>
      <c r="H24" s="12">
        <v>585000</v>
      </c>
      <c r="I24" s="12">
        <v>371990</v>
      </c>
      <c r="J24" s="13">
        <f t="shared" si="0"/>
        <v>63.588034188034193</v>
      </c>
      <c r="K24" s="12">
        <v>743983</v>
      </c>
      <c r="L24" s="12">
        <f>H24-524377</f>
        <v>60623</v>
      </c>
      <c r="M24" s="12">
        <v>219606</v>
      </c>
      <c r="N24" s="12">
        <f t="shared" si="1"/>
        <v>117000</v>
      </c>
      <c r="O24" s="14">
        <v>1.077</v>
      </c>
      <c r="P24" s="12">
        <f t="shared" si="2"/>
        <v>56288.765088207991</v>
      </c>
      <c r="Q24" s="15">
        <f t="shared" si="3"/>
        <v>1.2922122380213037</v>
      </c>
      <c r="R24" s="15">
        <f t="shared" si="4"/>
        <v>4.6810214067747618</v>
      </c>
      <c r="S24" s="10" t="s">
        <v>24</v>
      </c>
    </row>
    <row r="25" spans="1:19" x14ac:dyDescent="0.25">
      <c r="A25" s="10" t="s">
        <v>2622</v>
      </c>
      <c r="B25" s="10" t="s">
        <v>2623</v>
      </c>
      <c r="C25" s="10" t="s">
        <v>2613</v>
      </c>
      <c r="D25" s="11">
        <v>45432</v>
      </c>
      <c r="E25" s="12">
        <v>2850000</v>
      </c>
      <c r="F25" s="10" t="s">
        <v>22</v>
      </c>
      <c r="G25" s="10" t="s">
        <v>23</v>
      </c>
      <c r="H25" s="12">
        <v>2850000</v>
      </c>
      <c r="I25" s="12">
        <v>910340</v>
      </c>
      <c r="J25" s="13">
        <f t="shared" si="0"/>
        <v>31.941754385964909</v>
      </c>
      <c r="K25" s="12">
        <v>1820682</v>
      </c>
      <c r="L25" s="12">
        <f>H25-1583552</f>
        <v>1266448</v>
      </c>
      <c r="M25" s="12">
        <v>237130</v>
      </c>
      <c r="N25" s="12">
        <f t="shared" si="1"/>
        <v>570000</v>
      </c>
      <c r="O25" s="14">
        <v>1.375</v>
      </c>
      <c r="P25" s="12">
        <f t="shared" si="2"/>
        <v>921053.09090909094</v>
      </c>
      <c r="Q25" s="15">
        <f t="shared" si="3"/>
        <v>21.144469488271142</v>
      </c>
      <c r="R25" s="15">
        <f t="shared" si="4"/>
        <v>3.9590950830620253</v>
      </c>
      <c r="S25" s="10" t="s">
        <v>24</v>
      </c>
    </row>
    <row r="26" spans="1:19" x14ac:dyDescent="0.25">
      <c r="A26" s="10" t="s">
        <v>2624</v>
      </c>
      <c r="B26" s="10" t="s">
        <v>2625</v>
      </c>
      <c r="C26" s="10" t="s">
        <v>2613</v>
      </c>
      <c r="D26" s="11">
        <v>45205</v>
      </c>
      <c r="E26" s="12">
        <v>642000</v>
      </c>
      <c r="F26" s="10" t="s">
        <v>29</v>
      </c>
      <c r="G26" s="10" t="s">
        <v>23</v>
      </c>
      <c r="H26" s="12">
        <v>642000</v>
      </c>
      <c r="I26" s="12">
        <v>312610</v>
      </c>
      <c r="J26" s="13">
        <f t="shared" si="0"/>
        <v>48.693146417445483</v>
      </c>
      <c r="K26" s="12">
        <v>625217</v>
      </c>
      <c r="L26" s="12">
        <f>H26-428659</f>
        <v>213341</v>
      </c>
      <c r="M26" s="12">
        <v>196558</v>
      </c>
      <c r="N26" s="12">
        <f t="shared" si="1"/>
        <v>128400</v>
      </c>
      <c r="O26" s="14">
        <v>0.86099999999999999</v>
      </c>
      <c r="P26" s="12">
        <f t="shared" si="2"/>
        <v>247782.81068524971</v>
      </c>
      <c r="Q26" s="15">
        <f t="shared" si="3"/>
        <v>5.6883106217917749</v>
      </c>
      <c r="R26" s="15">
        <f t="shared" si="4"/>
        <v>5.2408255290738666</v>
      </c>
      <c r="S26" s="10" t="s">
        <v>24</v>
      </c>
    </row>
    <row r="27" spans="1:19" x14ac:dyDescent="0.25">
      <c r="A27" s="10" t="s">
        <v>2626</v>
      </c>
      <c r="B27" s="10" t="s">
        <v>2627</v>
      </c>
      <c r="C27" s="10" t="s">
        <v>2613</v>
      </c>
      <c r="D27" s="11">
        <v>45159</v>
      </c>
      <c r="E27" s="12">
        <v>499500</v>
      </c>
      <c r="F27" s="10" t="s">
        <v>29</v>
      </c>
      <c r="G27" s="10" t="s">
        <v>23</v>
      </c>
      <c r="H27" s="12">
        <v>499500</v>
      </c>
      <c r="I27" s="12">
        <v>275000</v>
      </c>
      <c r="J27" s="13">
        <f t="shared" si="0"/>
        <v>55.055055055055057</v>
      </c>
      <c r="K27" s="12">
        <v>549993</v>
      </c>
      <c r="L27" s="12">
        <f>H27-369177</f>
        <v>130323</v>
      </c>
      <c r="M27" s="12">
        <v>180816</v>
      </c>
      <c r="N27" s="12">
        <f t="shared" si="1"/>
        <v>99900</v>
      </c>
      <c r="O27" s="14">
        <v>0.96</v>
      </c>
      <c r="P27" s="12">
        <f t="shared" si="2"/>
        <v>135753.125</v>
      </c>
      <c r="Q27" s="15">
        <f t="shared" si="3"/>
        <v>3.1164629247015609</v>
      </c>
      <c r="R27" s="15">
        <f t="shared" si="4"/>
        <v>4.3239210284664829</v>
      </c>
      <c r="S27" s="10" t="s">
        <v>24</v>
      </c>
    </row>
    <row r="28" spans="1:19" x14ac:dyDescent="0.25">
      <c r="A28" s="10" t="s">
        <v>2628</v>
      </c>
      <c r="B28" s="10" t="s">
        <v>2629</v>
      </c>
      <c r="C28" s="10" t="s">
        <v>2613</v>
      </c>
      <c r="D28" s="11">
        <v>45358</v>
      </c>
      <c r="E28" s="12">
        <v>1725000</v>
      </c>
      <c r="F28" s="10" t="s">
        <v>29</v>
      </c>
      <c r="G28" s="10" t="s">
        <v>23</v>
      </c>
      <c r="H28" s="12">
        <v>1725000</v>
      </c>
      <c r="I28" s="12">
        <v>695630</v>
      </c>
      <c r="J28" s="13">
        <f t="shared" si="0"/>
        <v>40.326376811594209</v>
      </c>
      <c r="K28" s="12">
        <v>1391263</v>
      </c>
      <c r="L28" s="12">
        <f>H28-1184948</f>
        <v>540052</v>
      </c>
      <c r="M28" s="12">
        <v>206315</v>
      </c>
      <c r="N28" s="12">
        <f t="shared" si="1"/>
        <v>345000</v>
      </c>
      <c r="O28" s="14">
        <v>0.85099999999999998</v>
      </c>
      <c r="P28" s="12">
        <f t="shared" si="2"/>
        <v>634608.69565217395</v>
      </c>
      <c r="Q28" s="15">
        <f t="shared" si="3"/>
        <v>14.56861101129876</v>
      </c>
      <c r="R28" s="15">
        <f t="shared" si="4"/>
        <v>5.5656177197679177</v>
      </c>
      <c r="S28" s="10" t="s">
        <v>24</v>
      </c>
    </row>
    <row r="29" spans="1:19" x14ac:dyDescent="0.25">
      <c r="A29" s="10" t="s">
        <v>2630</v>
      </c>
      <c r="B29" s="10" t="s">
        <v>2631</v>
      </c>
      <c r="C29" s="10" t="s">
        <v>2613</v>
      </c>
      <c r="D29" s="11">
        <v>45523</v>
      </c>
      <c r="E29" s="12">
        <v>1185000</v>
      </c>
      <c r="F29" s="10" t="s">
        <v>29</v>
      </c>
      <c r="G29" s="10" t="s">
        <v>23</v>
      </c>
      <c r="H29" s="12">
        <v>1185000</v>
      </c>
      <c r="I29" s="12">
        <v>407300</v>
      </c>
      <c r="J29" s="13">
        <f t="shared" si="0"/>
        <v>34.371308016877641</v>
      </c>
      <c r="K29" s="12">
        <v>814593</v>
      </c>
      <c r="L29" s="12">
        <f>H29-611453</f>
        <v>573547</v>
      </c>
      <c r="M29" s="12">
        <v>203140</v>
      </c>
      <c r="N29" s="12">
        <f t="shared" si="1"/>
        <v>237000</v>
      </c>
      <c r="O29" s="14">
        <v>0.79700000000000004</v>
      </c>
      <c r="P29" s="12">
        <f t="shared" si="2"/>
        <v>719632.37139272271</v>
      </c>
      <c r="Q29" s="15">
        <f t="shared" si="3"/>
        <v>16.52048602829942</v>
      </c>
      <c r="R29" s="15">
        <f t="shared" si="4"/>
        <v>5.8512581040241578</v>
      </c>
      <c r="S29" s="10" t="s">
        <v>24</v>
      </c>
    </row>
    <row r="30" spans="1:19" x14ac:dyDescent="0.25">
      <c r="A30" s="10" t="s">
        <v>2632</v>
      </c>
      <c r="B30" s="10" t="s">
        <v>2633</v>
      </c>
      <c r="C30" s="10" t="s">
        <v>2613</v>
      </c>
      <c r="D30" s="11">
        <v>45553</v>
      </c>
      <c r="E30" s="12">
        <v>599000</v>
      </c>
      <c r="F30" s="10" t="s">
        <v>22</v>
      </c>
      <c r="G30" s="10" t="s">
        <v>23</v>
      </c>
      <c r="H30" s="12">
        <v>599000</v>
      </c>
      <c r="I30" s="12">
        <v>239100</v>
      </c>
      <c r="J30" s="13">
        <f t="shared" si="0"/>
        <v>39.916527545909851</v>
      </c>
      <c r="K30" s="12">
        <v>478208</v>
      </c>
      <c r="L30" s="12">
        <f>H30-283965</f>
        <v>315035</v>
      </c>
      <c r="M30" s="12">
        <v>194243</v>
      </c>
      <c r="N30" s="12">
        <f t="shared" si="1"/>
        <v>119800</v>
      </c>
      <c r="O30" s="14">
        <v>0.71799999999999997</v>
      </c>
      <c r="P30" s="12">
        <f t="shared" si="2"/>
        <v>438767.40947075211</v>
      </c>
      <c r="Q30" s="15">
        <f t="shared" si="3"/>
        <v>10.072713716041141</v>
      </c>
      <c r="R30" s="15">
        <f t="shared" si="4"/>
        <v>6.2105928875997254</v>
      </c>
      <c r="S30" s="10" t="s">
        <v>24</v>
      </c>
    </row>
    <row r="31" spans="1:19" x14ac:dyDescent="0.25">
      <c r="A31" s="10" t="s">
        <v>2634</v>
      </c>
      <c r="B31" s="10" t="s">
        <v>2635</v>
      </c>
      <c r="C31" s="10" t="s">
        <v>2613</v>
      </c>
      <c r="D31" s="11">
        <v>45324</v>
      </c>
      <c r="E31" s="12">
        <v>575000</v>
      </c>
      <c r="F31" s="10" t="s">
        <v>29</v>
      </c>
      <c r="G31" s="10" t="s">
        <v>23</v>
      </c>
      <c r="H31" s="12">
        <v>575000</v>
      </c>
      <c r="I31" s="12">
        <v>302860</v>
      </c>
      <c r="J31" s="13">
        <f t="shared" si="0"/>
        <v>52.671304347826087</v>
      </c>
      <c r="K31" s="12">
        <v>605715</v>
      </c>
      <c r="L31" s="12">
        <f>H31-395695</f>
        <v>179305</v>
      </c>
      <c r="M31" s="12">
        <v>210020</v>
      </c>
      <c r="N31" s="12">
        <f t="shared" si="1"/>
        <v>115000</v>
      </c>
      <c r="O31" s="14">
        <v>0.91400000000000003</v>
      </c>
      <c r="P31" s="12">
        <f t="shared" si="2"/>
        <v>196176.14879649889</v>
      </c>
      <c r="Q31" s="15">
        <f t="shared" si="3"/>
        <v>4.5035846831152178</v>
      </c>
      <c r="R31" s="15">
        <f t="shared" si="4"/>
        <v>5.2750500830866853</v>
      </c>
      <c r="S31" s="10" t="s">
        <v>24</v>
      </c>
    </row>
    <row r="32" spans="1:19" x14ac:dyDescent="0.25">
      <c r="A32" s="10" t="s">
        <v>2636</v>
      </c>
      <c r="B32" s="10" t="s">
        <v>2637</v>
      </c>
      <c r="C32" s="10" t="s">
        <v>2613</v>
      </c>
      <c r="D32" s="11">
        <v>45195</v>
      </c>
      <c r="E32" s="12">
        <v>778000</v>
      </c>
      <c r="F32" s="10" t="s">
        <v>22</v>
      </c>
      <c r="G32" s="10" t="s">
        <v>23</v>
      </c>
      <c r="H32" s="12">
        <v>778000</v>
      </c>
      <c r="I32" s="12">
        <v>340250</v>
      </c>
      <c r="J32" s="13">
        <f t="shared" si="0"/>
        <v>43.733933161953722</v>
      </c>
      <c r="K32" s="12">
        <v>680509</v>
      </c>
      <c r="L32" s="12">
        <f>H32-473606</f>
        <v>304394</v>
      </c>
      <c r="M32" s="12">
        <v>206903</v>
      </c>
      <c r="N32" s="12">
        <f t="shared" si="1"/>
        <v>155600</v>
      </c>
      <c r="O32" s="14">
        <v>0.86099999999999999</v>
      </c>
      <c r="P32" s="12">
        <f t="shared" si="2"/>
        <v>353535.42392566783</v>
      </c>
      <c r="Q32" s="15">
        <f t="shared" si="3"/>
        <v>8.1160565639501332</v>
      </c>
      <c r="R32" s="15">
        <f t="shared" si="4"/>
        <v>5.5166542417096744</v>
      </c>
      <c r="S32" s="10" t="s">
        <v>24</v>
      </c>
    </row>
    <row r="33" spans="1:19" x14ac:dyDescent="0.25">
      <c r="A33" s="10" t="s">
        <v>2638</v>
      </c>
      <c r="B33" s="10" t="s">
        <v>2639</v>
      </c>
      <c r="C33" s="10" t="s">
        <v>2613</v>
      </c>
      <c r="D33" s="11">
        <v>45055</v>
      </c>
      <c r="E33" s="12">
        <v>590000</v>
      </c>
      <c r="F33" s="10" t="s">
        <v>29</v>
      </c>
      <c r="G33" s="10" t="s">
        <v>23</v>
      </c>
      <c r="H33" s="12">
        <v>590000</v>
      </c>
      <c r="I33" s="12">
        <v>236640</v>
      </c>
      <c r="J33" s="13">
        <f t="shared" si="0"/>
        <v>40.108474576271185</v>
      </c>
      <c r="K33" s="12">
        <v>473288</v>
      </c>
      <c r="L33" s="12">
        <f>H33-291422</f>
        <v>298578</v>
      </c>
      <c r="M33" s="12">
        <v>181866</v>
      </c>
      <c r="N33" s="12">
        <f t="shared" si="1"/>
        <v>118000</v>
      </c>
      <c r="O33" s="14">
        <v>0.98099999999999998</v>
      </c>
      <c r="P33" s="12">
        <f t="shared" si="2"/>
        <v>304360.85626911314</v>
      </c>
      <c r="Q33" s="15">
        <f t="shared" si="3"/>
        <v>6.9871638261963529</v>
      </c>
      <c r="R33" s="15">
        <f t="shared" si="4"/>
        <v>4.2559315703602607</v>
      </c>
      <c r="S33" s="10" t="s">
        <v>24</v>
      </c>
    </row>
    <row r="34" spans="1:19" x14ac:dyDescent="0.25">
      <c r="A34" s="10" t="s">
        <v>2640</v>
      </c>
      <c r="B34" s="10" t="s">
        <v>2641</v>
      </c>
      <c r="C34" s="10" t="s">
        <v>2613</v>
      </c>
      <c r="D34" s="11">
        <v>45237</v>
      </c>
      <c r="E34" s="12">
        <v>1000000</v>
      </c>
      <c r="F34" s="10" t="s">
        <v>29</v>
      </c>
      <c r="G34" s="10" t="s">
        <v>23</v>
      </c>
      <c r="H34" s="12">
        <v>1000000</v>
      </c>
      <c r="I34" s="12">
        <v>482900</v>
      </c>
      <c r="J34" s="13">
        <f t="shared" si="0"/>
        <v>48.29</v>
      </c>
      <c r="K34" s="12">
        <v>965807</v>
      </c>
      <c r="L34" s="12">
        <f>H34-758492</f>
        <v>241508</v>
      </c>
      <c r="M34" s="12">
        <v>207315</v>
      </c>
      <c r="N34" s="12">
        <f t="shared" si="1"/>
        <v>200000</v>
      </c>
      <c r="O34" s="14">
        <v>0.86799999999999999</v>
      </c>
      <c r="P34" s="12">
        <f t="shared" si="2"/>
        <v>278235.02304147463</v>
      </c>
      <c r="Q34" s="15">
        <f t="shared" si="3"/>
        <v>6.3873972231743492</v>
      </c>
      <c r="R34" s="15">
        <f t="shared" si="4"/>
        <v>5.483061659747877</v>
      </c>
      <c r="S34" s="10" t="s">
        <v>24</v>
      </c>
    </row>
    <row r="35" spans="1:19" ht="15.75" thickBot="1" x14ac:dyDescent="0.3">
      <c r="A35" s="16"/>
      <c r="B35" s="16"/>
      <c r="C35" s="16"/>
      <c r="D35" s="17"/>
      <c r="E35" s="18"/>
      <c r="F35" s="16"/>
      <c r="G35" s="16"/>
      <c r="H35" s="18"/>
      <c r="I35" s="18"/>
      <c r="J35" s="19"/>
      <c r="K35" s="18"/>
      <c r="L35" s="18">
        <f>AVERAGE(L20:L34)</f>
        <v>371199.53333333333</v>
      </c>
      <c r="M35" s="18">
        <f>AVERAGE(M20:M34)</f>
        <v>206869.6</v>
      </c>
      <c r="N35" s="18">
        <f>AVERAGE(N20:N34)</f>
        <v>186633.33333333334</v>
      </c>
      <c r="O35" s="20"/>
      <c r="P35" s="18"/>
      <c r="Q35" s="21">
        <f>AVERAGE(Q20:Q34)</f>
        <v>8.5704357562137226</v>
      </c>
      <c r="R35" s="21">
        <f>AVERAGE(R20:R34)</f>
        <v>5.0250301310555425</v>
      </c>
      <c r="S35" s="16"/>
    </row>
    <row r="36" spans="1:19" ht="15.75" thickTop="1" x14ac:dyDescent="0.25">
      <c r="A36" s="10"/>
      <c r="B36" s="10"/>
      <c r="C36" s="10"/>
      <c r="D36" s="11"/>
      <c r="E36" s="12"/>
      <c r="F36" s="10"/>
      <c r="G36" s="10"/>
      <c r="H36" s="12"/>
      <c r="I36" s="12"/>
      <c r="J36" s="13"/>
      <c r="K36" s="12"/>
      <c r="L36" s="12"/>
      <c r="M36" s="12"/>
      <c r="N36" s="12"/>
      <c r="O36" s="14"/>
      <c r="P36" s="12"/>
      <c r="Q36" s="15"/>
      <c r="R36" s="15"/>
      <c r="S36" s="10"/>
    </row>
    <row r="37" spans="1:19" x14ac:dyDescent="0.25">
      <c r="A37" s="10"/>
      <c r="B37" s="10"/>
      <c r="C37" s="10"/>
      <c r="D37" s="11"/>
      <c r="E37" s="12"/>
      <c r="F37" s="10"/>
      <c r="G37" s="10"/>
      <c r="H37" s="12"/>
      <c r="I37" s="12"/>
      <c r="J37" s="13"/>
      <c r="K37" s="12"/>
      <c r="L37" s="12"/>
      <c r="M37" s="12"/>
      <c r="N37" s="12"/>
      <c r="O37" s="14"/>
      <c r="P37" s="12"/>
      <c r="Q37" s="15"/>
      <c r="R37" s="15"/>
      <c r="S37" s="10"/>
    </row>
    <row r="38" spans="1:19" x14ac:dyDescent="0.25">
      <c r="A38" s="10" t="s">
        <v>2642</v>
      </c>
      <c r="B38" s="10" t="s">
        <v>2643</v>
      </c>
      <c r="C38" s="10" t="s">
        <v>2644</v>
      </c>
      <c r="D38" s="11">
        <v>45471</v>
      </c>
      <c r="E38" s="12">
        <v>808000</v>
      </c>
      <c r="F38" s="10" t="s">
        <v>22</v>
      </c>
      <c r="G38" s="10" t="s">
        <v>23</v>
      </c>
      <c r="H38" s="12">
        <v>808000</v>
      </c>
      <c r="I38" s="12">
        <v>211780</v>
      </c>
      <c r="J38" s="13">
        <f>I38/H38*100</f>
        <v>26.21039603960396</v>
      </c>
      <c r="K38" s="12">
        <v>423554</v>
      </c>
      <c r="L38" s="12">
        <f>H38-338554</f>
        <v>469446</v>
      </c>
      <c r="M38" s="12">
        <v>85000</v>
      </c>
      <c r="N38" s="12">
        <f>E38*0.2</f>
        <v>161600</v>
      </c>
      <c r="O38" s="14">
        <v>1</v>
      </c>
      <c r="P38" s="12">
        <f>L38/O38</f>
        <v>469446</v>
      </c>
      <c r="Q38" s="15">
        <f>L38/O38/43560</f>
        <v>10.776997245179063</v>
      </c>
      <c r="R38" s="15">
        <f>M38/O38/43560</f>
        <v>1.9513314967860422</v>
      </c>
      <c r="S38" s="10" t="s">
        <v>97</v>
      </c>
    </row>
    <row r="39" spans="1:19" ht="15.75" thickBot="1" x14ac:dyDescent="0.3">
      <c r="A39" s="16"/>
      <c r="B39" s="16"/>
      <c r="C39" s="16"/>
      <c r="D39" s="17"/>
      <c r="E39" s="18"/>
      <c r="F39" s="16"/>
      <c r="G39" s="16"/>
      <c r="H39" s="18"/>
      <c r="I39" s="18"/>
      <c r="J39" s="19"/>
      <c r="K39" s="18"/>
      <c r="L39" s="18">
        <f>AVERAGE(L38)</f>
        <v>469446</v>
      </c>
      <c r="M39" s="18">
        <f>AVERAGE(M38)</f>
        <v>85000</v>
      </c>
      <c r="N39" s="18">
        <f>AVERAGE(N38)</f>
        <v>161600</v>
      </c>
      <c r="O39" s="20"/>
      <c r="P39" s="18"/>
      <c r="Q39" s="21">
        <f>AVERAGE(Q38)</f>
        <v>10.776997245179063</v>
      </c>
      <c r="R39" s="21">
        <f>AVERAGE(R38)</f>
        <v>1.9513314967860422</v>
      </c>
      <c r="S39" s="16"/>
    </row>
    <row r="40" spans="1:19" ht="15.75" thickTop="1" x14ac:dyDescent="0.25">
      <c r="A40" s="10"/>
      <c r="B40" s="10"/>
      <c r="C40" s="10"/>
      <c r="D40" s="11"/>
      <c r="E40" s="12"/>
      <c r="F40" s="10"/>
      <c r="G40" s="10"/>
      <c r="H40" s="12"/>
      <c r="I40" s="12"/>
      <c r="J40" s="13"/>
      <c r="K40" s="12"/>
      <c r="L40" s="12"/>
      <c r="M40" s="12"/>
      <c r="N40" s="12"/>
      <c r="O40" s="14"/>
      <c r="P40" s="12"/>
      <c r="Q40" s="15"/>
      <c r="R40" s="15"/>
      <c r="S40" s="10"/>
    </row>
    <row r="41" spans="1:19" x14ac:dyDescent="0.25">
      <c r="A41" s="10"/>
      <c r="B41" s="10"/>
      <c r="C41" s="10"/>
      <c r="D41" s="11"/>
      <c r="E41" s="12"/>
      <c r="F41" s="10"/>
      <c r="G41" s="10"/>
      <c r="H41" s="12"/>
      <c r="I41" s="12"/>
      <c r="J41" s="13"/>
      <c r="K41" s="12"/>
      <c r="L41" s="12"/>
      <c r="M41" s="12"/>
      <c r="N41" s="12"/>
      <c r="O41" s="14"/>
      <c r="P41" s="12"/>
      <c r="Q41" s="15"/>
      <c r="R41" s="15"/>
      <c r="S41" s="10"/>
    </row>
    <row r="42" spans="1:19" x14ac:dyDescent="0.25">
      <c r="A42" s="10" t="s">
        <v>2645</v>
      </c>
      <c r="B42" s="10" t="s">
        <v>2646</v>
      </c>
      <c r="C42" s="10" t="s">
        <v>2647</v>
      </c>
      <c r="D42" s="11">
        <v>45471</v>
      </c>
      <c r="E42" s="12">
        <v>650000</v>
      </c>
      <c r="F42" s="10" t="s">
        <v>22</v>
      </c>
      <c r="G42" s="10" t="s">
        <v>23</v>
      </c>
      <c r="H42" s="12">
        <v>650000</v>
      </c>
      <c r="I42" s="12">
        <v>240740</v>
      </c>
      <c r="J42" s="13">
        <f>I42/H42*100</f>
        <v>37.036923076923081</v>
      </c>
      <c r="K42" s="12">
        <v>481485</v>
      </c>
      <c r="L42" s="12">
        <f>H42-381485</f>
        <v>268515</v>
      </c>
      <c r="M42" s="12">
        <v>100000</v>
      </c>
      <c r="N42" s="12">
        <f>E42*0.2</f>
        <v>130000</v>
      </c>
      <c r="O42" s="14">
        <v>1</v>
      </c>
      <c r="P42" s="12">
        <f>L42/O42</f>
        <v>268515</v>
      </c>
      <c r="Q42" s="15">
        <f>L42/O42/43560</f>
        <v>6.1642561983471076</v>
      </c>
      <c r="R42" s="15">
        <f>M42/O42/43560</f>
        <v>2.2956841138659319</v>
      </c>
      <c r="S42" s="10" t="s">
        <v>97</v>
      </c>
    </row>
    <row r="43" spans="1:19" x14ac:dyDescent="0.25">
      <c r="A43" s="10" t="s">
        <v>2648</v>
      </c>
      <c r="B43" s="10" t="s">
        <v>2649</v>
      </c>
      <c r="C43" s="10" t="s">
        <v>2647</v>
      </c>
      <c r="D43" s="11">
        <v>45482</v>
      </c>
      <c r="E43" s="12">
        <v>587000</v>
      </c>
      <c r="F43" s="10" t="s">
        <v>29</v>
      </c>
      <c r="G43" s="10" t="s">
        <v>23</v>
      </c>
      <c r="H43" s="12">
        <v>587000</v>
      </c>
      <c r="I43" s="12">
        <v>219870</v>
      </c>
      <c r="J43" s="13">
        <f>I43/H43*100</f>
        <v>37.456558773424192</v>
      </c>
      <c r="K43" s="12">
        <v>439748</v>
      </c>
      <c r="L43" s="12">
        <f>H43-339748</f>
        <v>247252</v>
      </c>
      <c r="M43" s="12">
        <v>100000</v>
      </c>
      <c r="N43" s="12">
        <f>E43*0.2</f>
        <v>117400</v>
      </c>
      <c r="O43" s="14">
        <v>1</v>
      </c>
      <c r="P43" s="12">
        <f>L43/O43</f>
        <v>247252</v>
      </c>
      <c r="Q43" s="15">
        <f>L43/O43/43560</f>
        <v>5.6761248852157946</v>
      </c>
      <c r="R43" s="15">
        <f>M43/O43/43560</f>
        <v>2.2956841138659319</v>
      </c>
      <c r="S43" s="10" t="s">
        <v>97</v>
      </c>
    </row>
    <row r="44" spans="1:19" x14ac:dyDescent="0.25">
      <c r="A44" s="10" t="s">
        <v>2648</v>
      </c>
      <c r="B44" s="10" t="s">
        <v>2649</v>
      </c>
      <c r="C44" s="10" t="s">
        <v>2647</v>
      </c>
      <c r="D44" s="11">
        <v>45597</v>
      </c>
      <c r="E44" s="12">
        <v>602000</v>
      </c>
      <c r="F44" s="10" t="s">
        <v>29</v>
      </c>
      <c r="G44" s="10" t="s">
        <v>23</v>
      </c>
      <c r="H44" s="12">
        <v>602000</v>
      </c>
      <c r="I44" s="12">
        <v>206720</v>
      </c>
      <c r="J44" s="13">
        <f>I44/H44*100</f>
        <v>34.338870431893689</v>
      </c>
      <c r="K44" s="12">
        <v>413446</v>
      </c>
      <c r="L44" s="12">
        <f>H44-313446</f>
        <v>288554</v>
      </c>
      <c r="M44" s="12">
        <v>100000</v>
      </c>
      <c r="N44" s="12">
        <f>E44*0.2</f>
        <v>120400</v>
      </c>
      <c r="O44" s="14">
        <v>1</v>
      </c>
      <c r="P44" s="12">
        <f>L44/O44</f>
        <v>288554</v>
      </c>
      <c r="Q44" s="15">
        <f>L44/O44/43560</f>
        <v>6.6242883379247015</v>
      </c>
      <c r="R44" s="15">
        <f>M44/O44/43560</f>
        <v>2.2956841138659319</v>
      </c>
      <c r="S44" s="10" t="s">
        <v>97</v>
      </c>
    </row>
    <row r="45" spans="1:19" x14ac:dyDescent="0.25">
      <c r="A45" s="10" t="s">
        <v>2650</v>
      </c>
      <c r="B45" s="10" t="s">
        <v>2651</v>
      </c>
      <c r="C45" s="10" t="s">
        <v>2647</v>
      </c>
      <c r="D45" s="11">
        <v>45443</v>
      </c>
      <c r="E45" s="12">
        <v>705000</v>
      </c>
      <c r="F45" s="10" t="s">
        <v>29</v>
      </c>
      <c r="G45" s="10" t="s">
        <v>23</v>
      </c>
      <c r="H45" s="12">
        <v>705000</v>
      </c>
      <c r="I45" s="12">
        <v>265180</v>
      </c>
      <c r="J45" s="13">
        <f>I45/H45*100</f>
        <v>37.614184397163122</v>
      </c>
      <c r="K45" s="12">
        <v>530357</v>
      </c>
      <c r="L45" s="12">
        <f>H45-430357</f>
        <v>274643</v>
      </c>
      <c r="M45" s="12">
        <v>100000</v>
      </c>
      <c r="N45" s="12">
        <f>E45*0.2</f>
        <v>141000</v>
      </c>
      <c r="O45" s="14">
        <v>1</v>
      </c>
      <c r="P45" s="12">
        <f>L45/O45</f>
        <v>274643</v>
      </c>
      <c r="Q45" s="15">
        <f>L45/O45/43560</f>
        <v>6.3049357208448118</v>
      </c>
      <c r="R45" s="15">
        <f>M45/O45/43560</f>
        <v>2.2956841138659319</v>
      </c>
      <c r="S45" s="10" t="s">
        <v>97</v>
      </c>
    </row>
    <row r="46" spans="1:19" x14ac:dyDescent="0.25">
      <c r="A46" s="10" t="s">
        <v>2652</v>
      </c>
      <c r="B46" s="10" t="s">
        <v>2653</v>
      </c>
      <c r="C46" s="10" t="s">
        <v>2647</v>
      </c>
      <c r="D46" s="11">
        <v>45553</v>
      </c>
      <c r="E46" s="12">
        <v>614500</v>
      </c>
      <c r="F46" s="10" t="s">
        <v>29</v>
      </c>
      <c r="G46" s="10" t="s">
        <v>23</v>
      </c>
      <c r="H46" s="12">
        <v>614500</v>
      </c>
      <c r="I46" s="12">
        <v>225180</v>
      </c>
      <c r="J46" s="13">
        <f>I46/H46*100</f>
        <v>36.644426362896667</v>
      </c>
      <c r="K46" s="12">
        <v>450350</v>
      </c>
      <c r="L46" s="12">
        <f>H46-350350</f>
        <v>264150</v>
      </c>
      <c r="M46" s="12">
        <v>100000</v>
      </c>
      <c r="N46" s="12">
        <f>E46*0.2</f>
        <v>122900</v>
      </c>
      <c r="O46" s="14">
        <v>1</v>
      </c>
      <c r="P46" s="12">
        <f>L46/O46</f>
        <v>264150</v>
      </c>
      <c r="Q46" s="15">
        <f>L46/O46/43560</f>
        <v>6.0640495867768598</v>
      </c>
      <c r="R46" s="15">
        <f>M46/O46/43560</f>
        <v>2.2956841138659319</v>
      </c>
      <c r="S46" s="10" t="s">
        <v>97</v>
      </c>
    </row>
    <row r="47" spans="1:19" ht="15.75" thickBot="1" x14ac:dyDescent="0.3">
      <c r="A47" s="16"/>
      <c r="B47" s="16"/>
      <c r="C47" s="16"/>
      <c r="D47" s="17"/>
      <c r="E47" s="18"/>
      <c r="F47" s="16"/>
      <c r="G47" s="16"/>
      <c r="H47" s="18"/>
      <c r="I47" s="18"/>
      <c r="J47" s="19"/>
      <c r="K47" s="18"/>
      <c r="L47" s="18">
        <f>AVERAGE(L42:L46)</f>
        <v>268622.8</v>
      </c>
      <c r="M47" s="18">
        <f>AVERAGE(M42:M46)</f>
        <v>100000</v>
      </c>
      <c r="N47" s="18">
        <f>AVERAGE(N42:N46)</f>
        <v>126340</v>
      </c>
      <c r="O47" s="20"/>
      <c r="P47" s="18"/>
      <c r="Q47" s="21">
        <f>AVERAGE(Q42:Q46)</f>
        <v>6.1667309458218558</v>
      </c>
      <c r="R47" s="21">
        <f>AVERAGE(R42:R46)</f>
        <v>2.2956841138659319</v>
      </c>
      <c r="S47" s="16"/>
    </row>
    <row r="48" spans="1:19" ht="15.75" thickTop="1" x14ac:dyDescent="0.25"/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96C9E-858F-442F-9AA4-752158809927}">
  <dimension ref="A1:S65"/>
  <sheetViews>
    <sheetView workbookViewId="0">
      <selection activeCell="A54" sqref="A54:XFD57"/>
    </sheetView>
  </sheetViews>
  <sheetFormatPr defaultRowHeight="15" x14ac:dyDescent="0.25"/>
  <cols>
    <col min="1" max="1" width="12.42578125" bestFit="1" customWidth="1"/>
    <col min="2" max="2" width="20" bestFit="1" customWidth="1"/>
    <col min="3" max="3" width="12.5703125" bestFit="1" customWidth="1"/>
    <col min="7" max="7" width="13.140625" bestFit="1" customWidth="1"/>
    <col min="13" max="13" width="10.8554687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180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2654</v>
      </c>
      <c r="B2" s="10" t="s">
        <v>2655</v>
      </c>
      <c r="C2" s="10" t="s">
        <v>2656</v>
      </c>
      <c r="D2" s="11">
        <v>45079</v>
      </c>
      <c r="E2" s="12">
        <v>450000</v>
      </c>
      <c r="F2" s="10" t="s">
        <v>22</v>
      </c>
      <c r="G2" s="10" t="s">
        <v>23</v>
      </c>
      <c r="H2" s="12">
        <v>450000</v>
      </c>
      <c r="I2" s="12">
        <v>230030</v>
      </c>
      <c r="J2" s="13">
        <f t="shared" ref="J2:J33" si="0">I2/H2*100</f>
        <v>51.117777777777775</v>
      </c>
      <c r="K2" s="12">
        <v>460060</v>
      </c>
      <c r="L2" s="12">
        <f>H2-273005</f>
        <v>176995</v>
      </c>
      <c r="M2" s="12">
        <v>187055</v>
      </c>
      <c r="N2" s="12">
        <f t="shared" ref="N2:N33" si="1">E2*0.2</f>
        <v>90000</v>
      </c>
      <c r="O2" s="14">
        <v>0.42099999999999999</v>
      </c>
      <c r="P2" s="12">
        <f t="shared" ref="P2:P33" si="2">L2/O2</f>
        <v>420415.67695961997</v>
      </c>
      <c r="Q2" s="15">
        <f t="shared" ref="Q2:Q33" si="3">L2/O2/43560</f>
        <v>9.6514159081639104</v>
      </c>
      <c r="R2" s="15">
        <f t="shared" ref="R2:R33" si="4">M2/O2/43560</f>
        <v>10.19998080568152</v>
      </c>
      <c r="S2" s="10" t="s">
        <v>24</v>
      </c>
    </row>
    <row r="3" spans="1:19" x14ac:dyDescent="0.25">
      <c r="A3" s="10" t="s">
        <v>2657</v>
      </c>
      <c r="B3" s="10" t="s">
        <v>2658</v>
      </c>
      <c r="C3" s="10" t="s">
        <v>2656</v>
      </c>
      <c r="D3" s="11">
        <v>45358</v>
      </c>
      <c r="E3" s="12">
        <v>655000</v>
      </c>
      <c r="F3" s="10" t="s">
        <v>29</v>
      </c>
      <c r="G3" s="10" t="s">
        <v>23</v>
      </c>
      <c r="H3" s="12">
        <v>655000</v>
      </c>
      <c r="I3" s="12">
        <v>299100</v>
      </c>
      <c r="J3" s="13">
        <f t="shared" si="0"/>
        <v>45.664122137404576</v>
      </c>
      <c r="K3" s="12">
        <v>598191</v>
      </c>
      <c r="L3" s="12">
        <f>H3-402249</f>
        <v>252751</v>
      </c>
      <c r="M3" s="12">
        <v>195942</v>
      </c>
      <c r="N3" s="12">
        <f t="shared" si="1"/>
        <v>131000</v>
      </c>
      <c r="O3" s="14">
        <v>0.441</v>
      </c>
      <c r="P3" s="12">
        <f t="shared" si="2"/>
        <v>573131.51927437645</v>
      </c>
      <c r="Q3" s="15">
        <f t="shared" si="3"/>
        <v>13.157289239540322</v>
      </c>
      <c r="R3" s="15">
        <f t="shared" si="4"/>
        <v>10.200021238982279</v>
      </c>
      <c r="S3" s="10" t="s">
        <v>24</v>
      </c>
    </row>
    <row r="4" spans="1:19" x14ac:dyDescent="0.25">
      <c r="A4" s="10" t="s">
        <v>2659</v>
      </c>
      <c r="B4" s="10" t="s">
        <v>2660</v>
      </c>
      <c r="C4" s="10" t="s">
        <v>2656</v>
      </c>
      <c r="D4" s="11">
        <v>45719</v>
      </c>
      <c r="E4" s="12">
        <v>520000</v>
      </c>
      <c r="F4" s="10" t="s">
        <v>22</v>
      </c>
      <c r="G4" s="10" t="s">
        <v>23</v>
      </c>
      <c r="H4" s="12">
        <v>520000</v>
      </c>
      <c r="I4" s="12">
        <v>242090</v>
      </c>
      <c r="J4" s="13">
        <f t="shared" si="0"/>
        <v>46.555769230769229</v>
      </c>
      <c r="K4" s="12">
        <v>484189</v>
      </c>
      <c r="L4" s="12">
        <f>H4-270606</f>
        <v>249394</v>
      </c>
      <c r="M4" s="12">
        <v>213583</v>
      </c>
      <c r="N4" s="12">
        <f t="shared" si="1"/>
        <v>104000</v>
      </c>
      <c r="O4" s="14">
        <v>0.45400000000000001</v>
      </c>
      <c r="P4" s="12">
        <f t="shared" si="2"/>
        <v>549325.99118942732</v>
      </c>
      <c r="Q4" s="15">
        <f t="shared" si="3"/>
        <v>12.610789513072252</v>
      </c>
      <c r="R4" s="15">
        <f t="shared" si="4"/>
        <v>10.799980178234083</v>
      </c>
      <c r="S4" s="10" t="s">
        <v>24</v>
      </c>
    </row>
    <row r="5" spans="1:19" x14ac:dyDescent="0.25">
      <c r="A5" s="10" t="s">
        <v>2661</v>
      </c>
      <c r="B5" s="10" t="s">
        <v>2662</v>
      </c>
      <c r="C5" s="10" t="s">
        <v>2656</v>
      </c>
      <c r="D5" s="11">
        <v>45324</v>
      </c>
      <c r="E5" s="12">
        <v>625000</v>
      </c>
      <c r="F5" s="10" t="s">
        <v>22</v>
      </c>
      <c r="G5" s="10" t="s">
        <v>23</v>
      </c>
      <c r="H5" s="12">
        <v>625000</v>
      </c>
      <c r="I5" s="12">
        <v>254120</v>
      </c>
      <c r="J5" s="13">
        <f t="shared" si="0"/>
        <v>40.659199999999998</v>
      </c>
      <c r="K5" s="12">
        <v>508236</v>
      </c>
      <c r="L5" s="12">
        <f>H5-317966</f>
        <v>307034</v>
      </c>
      <c r="M5" s="12">
        <v>190270</v>
      </c>
      <c r="N5" s="12">
        <f t="shared" si="1"/>
        <v>125000</v>
      </c>
      <c r="O5" s="14">
        <v>0.36399999999999999</v>
      </c>
      <c r="P5" s="12">
        <f t="shared" si="2"/>
        <v>843500</v>
      </c>
      <c r="Q5" s="15">
        <f t="shared" si="3"/>
        <v>19.364095500459136</v>
      </c>
      <c r="R5" s="15">
        <f t="shared" si="4"/>
        <v>11.999994954540409</v>
      </c>
      <c r="S5" s="10" t="s">
        <v>24</v>
      </c>
    </row>
    <row r="6" spans="1:19" x14ac:dyDescent="0.25">
      <c r="A6" s="10" t="s">
        <v>2663</v>
      </c>
      <c r="B6" s="10" t="s">
        <v>2664</v>
      </c>
      <c r="C6" s="10" t="s">
        <v>2656</v>
      </c>
      <c r="D6" s="11">
        <v>45181</v>
      </c>
      <c r="E6" s="12">
        <v>442000</v>
      </c>
      <c r="F6" s="10" t="s">
        <v>22</v>
      </c>
      <c r="G6" s="10" t="s">
        <v>23</v>
      </c>
      <c r="H6" s="12">
        <v>442000</v>
      </c>
      <c r="I6" s="12">
        <v>253020</v>
      </c>
      <c r="J6" s="13">
        <f t="shared" si="0"/>
        <v>57.244343891402714</v>
      </c>
      <c r="K6" s="12">
        <v>506042</v>
      </c>
      <c r="L6" s="12">
        <f>H6-314726</f>
        <v>127274</v>
      </c>
      <c r="M6" s="12">
        <v>191316</v>
      </c>
      <c r="N6" s="12">
        <f t="shared" si="1"/>
        <v>88400</v>
      </c>
      <c r="O6" s="14">
        <v>0.36599999999999999</v>
      </c>
      <c r="P6" s="12">
        <f t="shared" si="2"/>
        <v>347743.16939890711</v>
      </c>
      <c r="Q6" s="15">
        <f t="shared" si="3"/>
        <v>7.9830846969446076</v>
      </c>
      <c r="R6" s="15">
        <f t="shared" si="4"/>
        <v>12.000030107332641</v>
      </c>
      <c r="S6" s="10" t="s">
        <v>24</v>
      </c>
    </row>
    <row r="7" spans="1:19" x14ac:dyDescent="0.25">
      <c r="A7" s="10" t="s">
        <v>2665</v>
      </c>
      <c r="B7" s="10" t="s">
        <v>2666</v>
      </c>
      <c r="C7" s="10" t="s">
        <v>2656</v>
      </c>
      <c r="D7" s="11">
        <v>45196</v>
      </c>
      <c r="E7" s="12">
        <v>2002161</v>
      </c>
      <c r="F7" s="10" t="s">
        <v>22</v>
      </c>
      <c r="G7" s="10" t="s">
        <v>23</v>
      </c>
      <c r="H7" s="12">
        <v>2002161</v>
      </c>
      <c r="I7" s="12">
        <v>967760</v>
      </c>
      <c r="J7" s="13">
        <f t="shared" si="0"/>
        <v>48.335773197060576</v>
      </c>
      <c r="K7" s="12">
        <v>1935529</v>
      </c>
      <c r="L7" s="12">
        <f>H7-1738464</f>
        <v>263697</v>
      </c>
      <c r="M7" s="12">
        <v>197065</v>
      </c>
      <c r="N7" s="12">
        <f t="shared" si="1"/>
        <v>400432.2</v>
      </c>
      <c r="O7" s="14">
        <v>0.377</v>
      </c>
      <c r="P7" s="12">
        <f t="shared" si="2"/>
        <v>699461.5384615385</v>
      </c>
      <c r="Q7" s="15">
        <f t="shared" si="3"/>
        <v>16.057427421063785</v>
      </c>
      <c r="R7" s="15">
        <f t="shared" si="4"/>
        <v>11.999973206869758</v>
      </c>
      <c r="S7" s="10" t="s">
        <v>24</v>
      </c>
    </row>
    <row r="8" spans="1:19" x14ac:dyDescent="0.25">
      <c r="A8" s="10" t="s">
        <v>2667</v>
      </c>
      <c r="B8" s="10" t="s">
        <v>2668</v>
      </c>
      <c r="C8" s="10" t="s">
        <v>2656</v>
      </c>
      <c r="D8" s="11">
        <v>45447</v>
      </c>
      <c r="E8" s="12">
        <v>372500</v>
      </c>
      <c r="F8" s="10" t="s">
        <v>29</v>
      </c>
      <c r="G8" s="10" t="s">
        <v>23</v>
      </c>
      <c r="H8" s="12">
        <v>372500</v>
      </c>
      <c r="I8" s="12">
        <v>225480</v>
      </c>
      <c r="J8" s="13">
        <f t="shared" si="0"/>
        <v>60.531543624161074</v>
      </c>
      <c r="K8" s="12">
        <v>450959</v>
      </c>
      <c r="L8" s="12">
        <f>H8-267458</f>
        <v>105042</v>
      </c>
      <c r="M8" s="12">
        <v>183501</v>
      </c>
      <c r="N8" s="12">
        <f t="shared" si="1"/>
        <v>74500</v>
      </c>
      <c r="O8" s="14">
        <v>0.41299999999999998</v>
      </c>
      <c r="P8" s="12">
        <f t="shared" si="2"/>
        <v>254338.98305084748</v>
      </c>
      <c r="Q8" s="15">
        <f t="shared" si="3"/>
        <v>5.8388196292664709</v>
      </c>
      <c r="R8" s="15">
        <f t="shared" si="4"/>
        <v>10.200008004322335</v>
      </c>
      <c r="S8" s="10" t="s">
        <v>24</v>
      </c>
    </row>
    <row r="9" spans="1:19" x14ac:dyDescent="0.25">
      <c r="A9" s="10" t="s">
        <v>2669</v>
      </c>
      <c r="B9" s="10" t="s">
        <v>2670</v>
      </c>
      <c r="C9" s="10" t="s">
        <v>2656</v>
      </c>
      <c r="D9" s="11">
        <v>45653</v>
      </c>
      <c r="E9" s="12">
        <v>499000</v>
      </c>
      <c r="F9" s="10" t="s">
        <v>29</v>
      </c>
      <c r="G9" s="10" t="s">
        <v>23</v>
      </c>
      <c r="H9" s="12">
        <v>499000</v>
      </c>
      <c r="I9" s="12">
        <v>261730</v>
      </c>
      <c r="J9" s="13">
        <f t="shared" si="0"/>
        <v>52.450901803607216</v>
      </c>
      <c r="K9" s="12">
        <v>523460</v>
      </c>
      <c r="L9" s="12">
        <f>H9-330054</f>
        <v>168946</v>
      </c>
      <c r="M9" s="12">
        <v>193406</v>
      </c>
      <c r="N9" s="12">
        <f t="shared" si="1"/>
        <v>99800</v>
      </c>
      <c r="O9" s="14">
        <v>0.37</v>
      </c>
      <c r="P9" s="12">
        <f t="shared" si="2"/>
        <v>456610.81081081083</v>
      </c>
      <c r="Q9" s="15">
        <f t="shared" si="3"/>
        <v>10.48234184597821</v>
      </c>
      <c r="R9" s="15">
        <f t="shared" si="4"/>
        <v>11.999975181793364</v>
      </c>
      <c r="S9" s="10" t="s">
        <v>24</v>
      </c>
    </row>
    <row r="10" spans="1:19" x14ac:dyDescent="0.25">
      <c r="A10" s="10" t="s">
        <v>2671</v>
      </c>
      <c r="B10" s="10" t="s">
        <v>2672</v>
      </c>
      <c r="C10" s="10" t="s">
        <v>2656</v>
      </c>
      <c r="D10" s="11">
        <v>45547</v>
      </c>
      <c r="E10" s="12">
        <v>420000</v>
      </c>
      <c r="F10" s="10" t="s">
        <v>22</v>
      </c>
      <c r="G10" s="10" t="s">
        <v>23</v>
      </c>
      <c r="H10" s="12">
        <v>420000</v>
      </c>
      <c r="I10" s="12">
        <v>233600</v>
      </c>
      <c r="J10" s="13">
        <f t="shared" si="0"/>
        <v>55.61904761904762</v>
      </c>
      <c r="K10" s="12">
        <v>467195</v>
      </c>
      <c r="L10" s="12">
        <f>H10-273266</f>
        <v>146734</v>
      </c>
      <c r="M10" s="12">
        <v>193929</v>
      </c>
      <c r="N10" s="12">
        <f t="shared" si="1"/>
        <v>84000</v>
      </c>
      <c r="O10" s="14">
        <v>0.371</v>
      </c>
      <c r="P10" s="12">
        <f t="shared" si="2"/>
        <v>395509.43396226416</v>
      </c>
      <c r="Q10" s="15">
        <f t="shared" si="3"/>
        <v>9.0796472443127669</v>
      </c>
      <c r="R10" s="15">
        <f t="shared" si="4"/>
        <v>11.99999257460664</v>
      </c>
      <c r="S10" s="10" t="s">
        <v>24</v>
      </c>
    </row>
    <row r="11" spans="1:19" x14ac:dyDescent="0.25">
      <c r="A11" s="10" t="s">
        <v>2673</v>
      </c>
      <c r="B11" s="10" t="s">
        <v>2674</v>
      </c>
      <c r="C11" s="10" t="s">
        <v>2656</v>
      </c>
      <c r="D11" s="11">
        <v>45345</v>
      </c>
      <c r="E11" s="12">
        <v>505000</v>
      </c>
      <c r="F11" s="10" t="s">
        <v>22</v>
      </c>
      <c r="G11" s="10" t="s">
        <v>23</v>
      </c>
      <c r="H11" s="12">
        <v>505000</v>
      </c>
      <c r="I11" s="12">
        <v>321800</v>
      </c>
      <c r="J11" s="13">
        <f t="shared" si="0"/>
        <v>63.722772277227726</v>
      </c>
      <c r="K11" s="12">
        <v>643600</v>
      </c>
      <c r="L11" s="12">
        <f>H11-386422</f>
        <v>118578</v>
      </c>
      <c r="M11" s="12">
        <v>257178</v>
      </c>
      <c r="N11" s="12">
        <f t="shared" si="1"/>
        <v>101000</v>
      </c>
      <c r="O11" s="14">
        <v>0.49199999999999999</v>
      </c>
      <c r="P11" s="12">
        <f t="shared" si="2"/>
        <v>241012.19512195123</v>
      </c>
      <c r="Q11" s="15">
        <f t="shared" si="3"/>
        <v>5.5328786758941968</v>
      </c>
      <c r="R11" s="15">
        <f t="shared" si="4"/>
        <v>11.999988801540908</v>
      </c>
      <c r="S11" s="10" t="s">
        <v>24</v>
      </c>
    </row>
    <row r="12" spans="1:19" x14ac:dyDescent="0.25">
      <c r="A12" s="10" t="s">
        <v>2675</v>
      </c>
      <c r="B12" s="10" t="s">
        <v>2676</v>
      </c>
      <c r="C12" s="10" t="s">
        <v>2656</v>
      </c>
      <c r="D12" s="11">
        <v>45475</v>
      </c>
      <c r="E12" s="12">
        <v>2275000</v>
      </c>
      <c r="F12" s="10" t="s">
        <v>22</v>
      </c>
      <c r="G12" s="10" t="s">
        <v>23</v>
      </c>
      <c r="H12" s="12">
        <v>2275000</v>
      </c>
      <c r="I12" s="12">
        <v>521520</v>
      </c>
      <c r="J12" s="13">
        <f t="shared" si="0"/>
        <v>22.923956043956046</v>
      </c>
      <c r="K12" s="12">
        <v>1043033</v>
      </c>
      <c r="L12" s="12">
        <f>H12-753446</f>
        <v>1521554</v>
      </c>
      <c r="M12" s="12">
        <v>289587</v>
      </c>
      <c r="N12" s="12">
        <f t="shared" si="1"/>
        <v>455000</v>
      </c>
      <c r="O12" s="14">
        <v>0.55400000000000005</v>
      </c>
      <c r="P12" s="12">
        <f t="shared" si="2"/>
        <v>2746487.3646209384</v>
      </c>
      <c r="Q12" s="15">
        <f t="shared" si="3"/>
        <v>63.050674118937984</v>
      </c>
      <c r="R12" s="15">
        <f t="shared" si="4"/>
        <v>12.000004972600967</v>
      </c>
      <c r="S12" s="10" t="s">
        <v>24</v>
      </c>
    </row>
    <row r="13" spans="1:19" x14ac:dyDescent="0.25">
      <c r="A13" s="10" t="s">
        <v>2677</v>
      </c>
      <c r="B13" s="10" t="s">
        <v>2678</v>
      </c>
      <c r="C13" s="10" t="s">
        <v>2656</v>
      </c>
      <c r="D13" s="11">
        <v>45540</v>
      </c>
      <c r="E13" s="12">
        <v>1830000</v>
      </c>
      <c r="F13" s="10" t="s">
        <v>22</v>
      </c>
      <c r="G13" s="10" t="s">
        <v>23</v>
      </c>
      <c r="H13" s="12">
        <v>1830000</v>
      </c>
      <c r="I13" s="12">
        <v>103500</v>
      </c>
      <c r="J13" s="13">
        <f t="shared" si="0"/>
        <v>5.6557377049180326</v>
      </c>
      <c r="K13" s="12">
        <v>206997</v>
      </c>
      <c r="L13" s="12">
        <f>H13-0</f>
        <v>1830000</v>
      </c>
      <c r="M13" s="12">
        <v>206997</v>
      </c>
      <c r="N13" s="12">
        <f t="shared" si="1"/>
        <v>366000</v>
      </c>
      <c r="O13" s="14">
        <v>0.39600000000000002</v>
      </c>
      <c r="P13" s="12">
        <f t="shared" si="2"/>
        <v>4621212.1212121211</v>
      </c>
      <c r="Q13" s="15">
        <f t="shared" si="3"/>
        <v>106.08843253471352</v>
      </c>
      <c r="R13" s="15">
        <f t="shared" si="4"/>
        <v>11.999993043381473</v>
      </c>
      <c r="S13" s="10" t="s">
        <v>24</v>
      </c>
    </row>
    <row r="14" spans="1:19" x14ac:dyDescent="0.25">
      <c r="A14" s="10" t="s">
        <v>2679</v>
      </c>
      <c r="B14" s="10" t="s">
        <v>2680</v>
      </c>
      <c r="C14" s="10" t="s">
        <v>2656</v>
      </c>
      <c r="D14" s="11">
        <v>45588</v>
      </c>
      <c r="E14" s="12">
        <v>510000</v>
      </c>
      <c r="F14" s="10" t="s">
        <v>22</v>
      </c>
      <c r="G14" s="10" t="s">
        <v>23</v>
      </c>
      <c r="H14" s="12">
        <v>510000</v>
      </c>
      <c r="I14" s="12">
        <v>328950</v>
      </c>
      <c r="J14" s="13">
        <f t="shared" si="0"/>
        <v>64.5</v>
      </c>
      <c r="K14" s="12">
        <v>657901</v>
      </c>
      <c r="L14" s="12">
        <f>H14-459267</f>
        <v>50733</v>
      </c>
      <c r="M14" s="12">
        <v>198634</v>
      </c>
      <c r="N14" s="12">
        <f t="shared" si="1"/>
        <v>102000</v>
      </c>
      <c r="O14" s="14">
        <v>0.38</v>
      </c>
      <c r="P14" s="12">
        <f t="shared" si="2"/>
        <v>133507.89473684211</v>
      </c>
      <c r="Q14" s="15">
        <f t="shared" si="3"/>
        <v>3.0649195302305352</v>
      </c>
      <c r="R14" s="15">
        <f t="shared" si="4"/>
        <v>12.000024165095935</v>
      </c>
      <c r="S14" s="10" t="s">
        <v>24</v>
      </c>
    </row>
    <row r="15" spans="1:19" x14ac:dyDescent="0.25">
      <c r="A15" s="10" t="s">
        <v>2681</v>
      </c>
      <c r="B15" s="10" t="s">
        <v>2682</v>
      </c>
      <c r="C15" s="10" t="s">
        <v>2656</v>
      </c>
      <c r="D15" s="11">
        <v>45603</v>
      </c>
      <c r="E15" s="12">
        <v>525000</v>
      </c>
      <c r="F15" s="10" t="s">
        <v>22</v>
      </c>
      <c r="G15" s="10" t="s">
        <v>23</v>
      </c>
      <c r="H15" s="12">
        <v>525000</v>
      </c>
      <c r="I15" s="12">
        <v>295210</v>
      </c>
      <c r="J15" s="13">
        <f t="shared" si="0"/>
        <v>56.230476190476189</v>
      </c>
      <c r="K15" s="12">
        <v>590413</v>
      </c>
      <c r="L15" s="12">
        <f>H15-397529</f>
        <v>127471</v>
      </c>
      <c r="M15" s="12">
        <v>192884</v>
      </c>
      <c r="N15" s="12">
        <f t="shared" si="1"/>
        <v>105000</v>
      </c>
      <c r="O15" s="14">
        <v>0.36899999999999999</v>
      </c>
      <c r="P15" s="12">
        <f t="shared" si="2"/>
        <v>345449.86449864501</v>
      </c>
      <c r="Q15" s="15">
        <f t="shared" si="3"/>
        <v>7.9304376606667812</v>
      </c>
      <c r="R15" s="15">
        <f t="shared" si="4"/>
        <v>12.000019908371719</v>
      </c>
      <c r="S15" s="10" t="s">
        <v>24</v>
      </c>
    </row>
    <row r="16" spans="1:19" x14ac:dyDescent="0.25">
      <c r="A16" s="10" t="s">
        <v>2683</v>
      </c>
      <c r="B16" s="10" t="s">
        <v>2684</v>
      </c>
      <c r="C16" s="10" t="s">
        <v>2656</v>
      </c>
      <c r="D16" s="11">
        <v>45301</v>
      </c>
      <c r="E16" s="12">
        <v>2015000</v>
      </c>
      <c r="F16" s="10" t="s">
        <v>22</v>
      </c>
      <c r="G16" s="10" t="s">
        <v>23</v>
      </c>
      <c r="H16" s="12">
        <v>2015000</v>
      </c>
      <c r="I16" s="12">
        <v>895730</v>
      </c>
      <c r="J16" s="13">
        <f t="shared" si="0"/>
        <v>44.453101736972705</v>
      </c>
      <c r="K16" s="12">
        <v>1791462</v>
      </c>
      <c r="L16" s="12">
        <f>H16-1583419</f>
        <v>431581</v>
      </c>
      <c r="M16" s="12">
        <v>208043</v>
      </c>
      <c r="N16" s="12">
        <f t="shared" si="1"/>
        <v>403000</v>
      </c>
      <c r="O16" s="14">
        <v>0.39800000000000002</v>
      </c>
      <c r="P16" s="12">
        <f t="shared" si="2"/>
        <v>1084374.3718592965</v>
      </c>
      <c r="Q16" s="15">
        <f t="shared" si="3"/>
        <v>24.893810189607358</v>
      </c>
      <c r="R16" s="15">
        <f t="shared" si="4"/>
        <v>12.000025379422365</v>
      </c>
      <c r="S16" s="10" t="s">
        <v>24</v>
      </c>
    </row>
    <row r="17" spans="1:19" x14ac:dyDescent="0.25">
      <c r="A17" s="10" t="s">
        <v>2685</v>
      </c>
      <c r="B17" s="10" t="s">
        <v>2686</v>
      </c>
      <c r="C17" s="10" t="s">
        <v>2656</v>
      </c>
      <c r="D17" s="11">
        <v>45470</v>
      </c>
      <c r="E17" s="12">
        <v>1790000</v>
      </c>
      <c r="F17" s="10" t="s">
        <v>29</v>
      </c>
      <c r="G17" s="10" t="s">
        <v>23</v>
      </c>
      <c r="H17" s="12">
        <v>1790000</v>
      </c>
      <c r="I17" s="12">
        <v>869600</v>
      </c>
      <c r="J17" s="13">
        <f t="shared" si="0"/>
        <v>48.581005586592177</v>
      </c>
      <c r="K17" s="12">
        <v>1739205</v>
      </c>
      <c r="L17" s="12">
        <f>H17-1547367</f>
        <v>242633</v>
      </c>
      <c r="M17" s="12">
        <v>191838</v>
      </c>
      <c r="N17" s="12">
        <f t="shared" si="1"/>
        <v>358000</v>
      </c>
      <c r="O17" s="14">
        <v>0.36699999999999999</v>
      </c>
      <c r="P17" s="12">
        <f t="shared" si="2"/>
        <v>661125.34059945506</v>
      </c>
      <c r="Q17" s="15">
        <f t="shared" si="3"/>
        <v>15.177349416883725</v>
      </c>
      <c r="R17" s="15">
        <f t="shared" si="4"/>
        <v>11.999984987351844</v>
      </c>
      <c r="S17" s="10" t="s">
        <v>24</v>
      </c>
    </row>
    <row r="18" spans="1:19" x14ac:dyDescent="0.25">
      <c r="A18" s="10" t="s">
        <v>2687</v>
      </c>
      <c r="B18" s="10" t="s">
        <v>2688</v>
      </c>
      <c r="C18" s="10" t="s">
        <v>2656</v>
      </c>
      <c r="D18" s="11">
        <v>45260</v>
      </c>
      <c r="E18" s="12">
        <v>679000</v>
      </c>
      <c r="F18" s="10" t="s">
        <v>22</v>
      </c>
      <c r="G18" s="10" t="s">
        <v>23</v>
      </c>
      <c r="H18" s="12">
        <v>679000</v>
      </c>
      <c r="I18" s="12">
        <v>374820</v>
      </c>
      <c r="J18" s="13">
        <f t="shared" si="0"/>
        <v>55.201767304860084</v>
      </c>
      <c r="K18" s="12">
        <v>749647</v>
      </c>
      <c r="L18" s="12">
        <f>H18-487764</f>
        <v>191236</v>
      </c>
      <c r="M18" s="12">
        <v>261883</v>
      </c>
      <c r="N18" s="12">
        <f t="shared" si="1"/>
        <v>135800</v>
      </c>
      <c r="O18" s="14">
        <v>0.501</v>
      </c>
      <c r="P18" s="12">
        <f t="shared" si="2"/>
        <v>381708.58283433132</v>
      </c>
      <c r="Q18" s="15">
        <f t="shared" si="3"/>
        <v>8.7628232973905256</v>
      </c>
      <c r="R18" s="15">
        <f t="shared" si="4"/>
        <v>12.000012830170697</v>
      </c>
      <c r="S18" s="10" t="s">
        <v>24</v>
      </c>
    </row>
    <row r="19" spans="1:19" x14ac:dyDescent="0.25">
      <c r="A19" s="10" t="s">
        <v>2689</v>
      </c>
      <c r="B19" s="10" t="s">
        <v>2690</v>
      </c>
      <c r="C19" s="10" t="s">
        <v>2656</v>
      </c>
      <c r="D19" s="11">
        <v>45296</v>
      </c>
      <c r="E19" s="12">
        <v>1700000</v>
      </c>
      <c r="F19" s="10" t="s">
        <v>22</v>
      </c>
      <c r="G19" s="10" t="s">
        <v>23</v>
      </c>
      <c r="H19" s="12">
        <v>1700000</v>
      </c>
      <c r="I19" s="12">
        <v>833300</v>
      </c>
      <c r="J19" s="13">
        <f t="shared" si="0"/>
        <v>49.017647058823528</v>
      </c>
      <c r="K19" s="12">
        <v>1666608</v>
      </c>
      <c r="L19" s="12">
        <f>H19-1464838</f>
        <v>235162</v>
      </c>
      <c r="M19" s="12">
        <v>201770</v>
      </c>
      <c r="N19" s="12">
        <f t="shared" si="1"/>
        <v>340000</v>
      </c>
      <c r="O19" s="14">
        <v>0.38600000000000001</v>
      </c>
      <c r="P19" s="12">
        <f t="shared" si="2"/>
        <v>609227.97927461134</v>
      </c>
      <c r="Q19" s="15">
        <f t="shared" si="3"/>
        <v>13.985949937433686</v>
      </c>
      <c r="R19" s="15">
        <f t="shared" si="4"/>
        <v>12.000004757894535</v>
      </c>
      <c r="S19" s="10" t="s">
        <v>24</v>
      </c>
    </row>
    <row r="20" spans="1:19" x14ac:dyDescent="0.25">
      <c r="A20" s="10" t="s">
        <v>2689</v>
      </c>
      <c r="B20" s="10" t="s">
        <v>2690</v>
      </c>
      <c r="C20" s="10" t="s">
        <v>2656</v>
      </c>
      <c r="D20" s="11">
        <v>45295</v>
      </c>
      <c r="E20" s="12">
        <v>1700000</v>
      </c>
      <c r="F20" s="10" t="s">
        <v>29</v>
      </c>
      <c r="G20" s="10" t="s">
        <v>23</v>
      </c>
      <c r="H20" s="12">
        <v>1700000</v>
      </c>
      <c r="I20" s="12">
        <v>833300</v>
      </c>
      <c r="J20" s="13">
        <f t="shared" si="0"/>
        <v>49.017647058823528</v>
      </c>
      <c r="K20" s="12">
        <v>1666608</v>
      </c>
      <c r="L20" s="12">
        <f>H20-1464838</f>
        <v>235162</v>
      </c>
      <c r="M20" s="12">
        <v>201770</v>
      </c>
      <c r="N20" s="12">
        <f t="shared" si="1"/>
        <v>340000</v>
      </c>
      <c r="O20" s="14">
        <v>0.38600000000000001</v>
      </c>
      <c r="P20" s="12">
        <f t="shared" si="2"/>
        <v>609227.97927461134</v>
      </c>
      <c r="Q20" s="15">
        <f t="shared" si="3"/>
        <v>13.985949937433686</v>
      </c>
      <c r="R20" s="15">
        <f t="shared" si="4"/>
        <v>12.000004757894535</v>
      </c>
      <c r="S20" s="10" t="s">
        <v>24</v>
      </c>
    </row>
    <row r="21" spans="1:19" x14ac:dyDescent="0.25">
      <c r="A21" s="10" t="s">
        <v>2691</v>
      </c>
      <c r="B21" s="10" t="s">
        <v>2692</v>
      </c>
      <c r="C21" s="10" t="s">
        <v>2656</v>
      </c>
      <c r="D21" s="11">
        <v>45083</v>
      </c>
      <c r="E21" s="12">
        <v>1815000</v>
      </c>
      <c r="F21" s="10" t="s">
        <v>22</v>
      </c>
      <c r="G21" s="10" t="s">
        <v>23</v>
      </c>
      <c r="H21" s="12">
        <v>1815000</v>
      </c>
      <c r="I21" s="12">
        <v>808080</v>
      </c>
      <c r="J21" s="13">
        <f t="shared" si="0"/>
        <v>44.522314049586775</v>
      </c>
      <c r="K21" s="12">
        <v>1616150</v>
      </c>
      <c r="L21" s="12">
        <f>H21-1387721</f>
        <v>427279</v>
      </c>
      <c r="M21" s="12">
        <v>228429</v>
      </c>
      <c r="N21" s="12">
        <f t="shared" si="1"/>
        <v>363000</v>
      </c>
      <c r="O21" s="14">
        <v>0.437</v>
      </c>
      <c r="P21" s="12">
        <f t="shared" si="2"/>
        <v>977755.14874141873</v>
      </c>
      <c r="Q21" s="15">
        <f t="shared" si="3"/>
        <v>22.446169622162966</v>
      </c>
      <c r="R21" s="15">
        <f t="shared" si="4"/>
        <v>12.000018911814211</v>
      </c>
      <c r="S21" s="10" t="s">
        <v>24</v>
      </c>
    </row>
    <row r="22" spans="1:19" x14ac:dyDescent="0.25">
      <c r="A22" s="10" t="s">
        <v>2693</v>
      </c>
      <c r="B22" s="10" t="s">
        <v>2694</v>
      </c>
      <c r="C22" s="10" t="s">
        <v>2656</v>
      </c>
      <c r="D22" s="11">
        <v>45729</v>
      </c>
      <c r="E22" s="12">
        <v>590000</v>
      </c>
      <c r="F22" s="10" t="s">
        <v>29</v>
      </c>
      <c r="G22" s="10" t="s">
        <v>23</v>
      </c>
      <c r="H22" s="12">
        <v>590000</v>
      </c>
      <c r="I22" s="12">
        <v>295520</v>
      </c>
      <c r="J22" s="13">
        <f t="shared" si="0"/>
        <v>50.088135593220343</v>
      </c>
      <c r="K22" s="12">
        <v>591040</v>
      </c>
      <c r="L22" s="12">
        <f>H22-402861</f>
        <v>187139</v>
      </c>
      <c r="M22" s="12">
        <v>188179</v>
      </c>
      <c r="N22" s="12">
        <f t="shared" si="1"/>
        <v>118000</v>
      </c>
      <c r="O22" s="14">
        <v>0.36</v>
      </c>
      <c r="P22" s="12">
        <f t="shared" si="2"/>
        <v>519830.55555555556</v>
      </c>
      <c r="Q22" s="15">
        <f t="shared" si="3"/>
        <v>11.933667482909907</v>
      </c>
      <c r="R22" s="15">
        <f t="shared" si="4"/>
        <v>11.999987246199368</v>
      </c>
      <c r="S22" s="10" t="s">
        <v>24</v>
      </c>
    </row>
    <row r="23" spans="1:19" x14ac:dyDescent="0.25">
      <c r="A23" s="10" t="s">
        <v>2695</v>
      </c>
      <c r="B23" s="10" t="s">
        <v>2696</v>
      </c>
      <c r="C23" s="10" t="s">
        <v>2656</v>
      </c>
      <c r="D23" s="11">
        <v>45093</v>
      </c>
      <c r="E23" s="12">
        <v>685000</v>
      </c>
      <c r="F23" s="10" t="s">
        <v>22</v>
      </c>
      <c r="G23" s="10" t="s">
        <v>23</v>
      </c>
      <c r="H23" s="12">
        <v>685000</v>
      </c>
      <c r="I23" s="12">
        <v>316520</v>
      </c>
      <c r="J23" s="13">
        <f t="shared" si="0"/>
        <v>46.207299270072994</v>
      </c>
      <c r="K23" s="12">
        <v>633034</v>
      </c>
      <c r="L23" s="12">
        <f>H23-378469</f>
        <v>306531</v>
      </c>
      <c r="M23" s="12">
        <v>254565</v>
      </c>
      <c r="N23" s="12">
        <f t="shared" si="1"/>
        <v>137000</v>
      </c>
      <c r="O23" s="14">
        <v>0.48699999999999999</v>
      </c>
      <c r="P23" s="12">
        <f t="shared" si="2"/>
        <v>629427.10472279263</v>
      </c>
      <c r="Q23" s="15">
        <f t="shared" si="3"/>
        <v>14.449658051487434</v>
      </c>
      <c r="R23" s="15">
        <f t="shared" si="4"/>
        <v>12.000016970149508</v>
      </c>
      <c r="S23" s="10" t="s">
        <v>24</v>
      </c>
    </row>
    <row r="24" spans="1:19" x14ac:dyDescent="0.25">
      <c r="A24" s="10" t="s">
        <v>2697</v>
      </c>
      <c r="B24" s="10" t="s">
        <v>2698</v>
      </c>
      <c r="C24" s="10" t="s">
        <v>2656</v>
      </c>
      <c r="D24" s="11">
        <v>45076</v>
      </c>
      <c r="E24" s="12">
        <v>640000</v>
      </c>
      <c r="F24" s="10" t="s">
        <v>22</v>
      </c>
      <c r="G24" s="10" t="s">
        <v>23</v>
      </c>
      <c r="H24" s="12">
        <v>640000</v>
      </c>
      <c r="I24" s="12">
        <v>243440</v>
      </c>
      <c r="J24" s="13">
        <f t="shared" si="0"/>
        <v>38.037500000000001</v>
      </c>
      <c r="K24" s="12">
        <v>486883</v>
      </c>
      <c r="L24" s="12">
        <f>H24-300272</f>
        <v>339728</v>
      </c>
      <c r="M24" s="12">
        <v>186611</v>
      </c>
      <c r="N24" s="12">
        <f t="shared" si="1"/>
        <v>128000</v>
      </c>
      <c r="O24" s="14">
        <v>0.35699999999999998</v>
      </c>
      <c r="P24" s="12">
        <f t="shared" si="2"/>
        <v>951619.04761904769</v>
      </c>
      <c r="Q24" s="15">
        <f t="shared" si="3"/>
        <v>21.846167300712757</v>
      </c>
      <c r="R24" s="15">
        <f t="shared" si="4"/>
        <v>11.999997427804916</v>
      </c>
      <c r="S24" s="10" t="s">
        <v>24</v>
      </c>
    </row>
    <row r="25" spans="1:19" x14ac:dyDescent="0.25">
      <c r="A25" s="10" t="s">
        <v>2699</v>
      </c>
      <c r="B25" s="10" t="s">
        <v>2700</v>
      </c>
      <c r="C25" s="10" t="s">
        <v>2656</v>
      </c>
      <c r="D25" s="11">
        <v>45659</v>
      </c>
      <c r="E25" s="12">
        <v>525000</v>
      </c>
      <c r="F25" s="10" t="s">
        <v>22</v>
      </c>
      <c r="G25" s="10" t="s">
        <v>23</v>
      </c>
      <c r="H25" s="12">
        <v>525000</v>
      </c>
      <c r="I25" s="12">
        <v>286970</v>
      </c>
      <c r="J25" s="13">
        <f t="shared" si="0"/>
        <v>54.660952380952374</v>
      </c>
      <c r="K25" s="12">
        <v>573931</v>
      </c>
      <c r="L25" s="12">
        <f>H25-360139</f>
        <v>164861</v>
      </c>
      <c r="M25" s="12">
        <v>213792</v>
      </c>
      <c r="N25" s="12">
        <f t="shared" si="1"/>
        <v>105000</v>
      </c>
      <c r="O25" s="14">
        <v>0.40899999999999997</v>
      </c>
      <c r="P25" s="12">
        <f t="shared" si="2"/>
        <v>403083.12958435208</v>
      </c>
      <c r="Q25" s="15">
        <f t="shared" si="3"/>
        <v>9.2535153715415994</v>
      </c>
      <c r="R25" s="15">
        <f t="shared" si="4"/>
        <v>11.999973057985951</v>
      </c>
      <c r="S25" s="10" t="s">
        <v>24</v>
      </c>
    </row>
    <row r="26" spans="1:19" x14ac:dyDescent="0.25">
      <c r="A26" s="10" t="s">
        <v>2701</v>
      </c>
      <c r="B26" s="10" t="s">
        <v>2702</v>
      </c>
      <c r="C26" s="10" t="s">
        <v>2656</v>
      </c>
      <c r="D26" s="11">
        <v>45645</v>
      </c>
      <c r="E26" s="12">
        <v>575000</v>
      </c>
      <c r="F26" s="10" t="s">
        <v>22</v>
      </c>
      <c r="G26" s="10" t="s">
        <v>23</v>
      </c>
      <c r="H26" s="12">
        <v>575000</v>
      </c>
      <c r="I26" s="12">
        <v>336000</v>
      </c>
      <c r="J26" s="13">
        <f t="shared" si="0"/>
        <v>58.434782608695656</v>
      </c>
      <c r="K26" s="12">
        <v>671991</v>
      </c>
      <c r="L26" s="12">
        <f>H26-445131</f>
        <v>129869</v>
      </c>
      <c r="M26" s="12">
        <v>226860</v>
      </c>
      <c r="N26" s="12">
        <f t="shared" si="1"/>
        <v>115000</v>
      </c>
      <c r="O26" s="14">
        <v>0.434</v>
      </c>
      <c r="P26" s="12">
        <f t="shared" si="2"/>
        <v>299237.32718894008</v>
      </c>
      <c r="Q26" s="15">
        <f t="shared" si="3"/>
        <v>6.8695437830335191</v>
      </c>
      <c r="R26" s="15">
        <f t="shared" si="4"/>
        <v>11.999974609945284</v>
      </c>
      <c r="S26" s="10" t="s">
        <v>24</v>
      </c>
    </row>
    <row r="27" spans="1:19" x14ac:dyDescent="0.25">
      <c r="A27" s="10" t="s">
        <v>2703</v>
      </c>
      <c r="B27" s="10" t="s">
        <v>2704</v>
      </c>
      <c r="C27" s="10" t="s">
        <v>2656</v>
      </c>
      <c r="D27" s="11">
        <v>45044</v>
      </c>
      <c r="E27" s="12">
        <v>1625000</v>
      </c>
      <c r="F27" s="10" t="s">
        <v>22</v>
      </c>
      <c r="G27" s="10" t="s">
        <v>23</v>
      </c>
      <c r="H27" s="12">
        <v>1625000</v>
      </c>
      <c r="I27" s="12">
        <v>822920</v>
      </c>
      <c r="J27" s="13">
        <f t="shared" si="0"/>
        <v>50.641230769230773</v>
      </c>
      <c r="K27" s="12">
        <v>1645845</v>
      </c>
      <c r="L27" s="12">
        <f>H27-1423166</f>
        <v>201834</v>
      </c>
      <c r="M27" s="12">
        <v>222679</v>
      </c>
      <c r="N27" s="12">
        <f t="shared" si="1"/>
        <v>325000</v>
      </c>
      <c r="O27" s="14">
        <v>0.42599999999999999</v>
      </c>
      <c r="P27" s="12">
        <f t="shared" si="2"/>
        <v>473788.73239436623</v>
      </c>
      <c r="Q27" s="15">
        <f t="shared" si="3"/>
        <v>10.876692662864238</v>
      </c>
      <c r="R27" s="15">
        <f t="shared" si="4"/>
        <v>12.000015089003565</v>
      </c>
      <c r="S27" s="10" t="s">
        <v>24</v>
      </c>
    </row>
    <row r="28" spans="1:19" x14ac:dyDescent="0.25">
      <c r="A28" s="10" t="s">
        <v>2705</v>
      </c>
      <c r="B28" s="10" t="s">
        <v>2706</v>
      </c>
      <c r="C28" s="10" t="s">
        <v>2656</v>
      </c>
      <c r="D28" s="11">
        <v>45489</v>
      </c>
      <c r="E28" s="12">
        <v>417000</v>
      </c>
      <c r="F28" s="10" t="s">
        <v>22</v>
      </c>
      <c r="G28" s="10" t="s">
        <v>23</v>
      </c>
      <c r="H28" s="12">
        <v>417000</v>
      </c>
      <c r="I28" s="12">
        <v>238060</v>
      </c>
      <c r="J28" s="13">
        <f t="shared" si="0"/>
        <v>57.088729016786566</v>
      </c>
      <c r="K28" s="12">
        <v>476114</v>
      </c>
      <c r="L28" s="12">
        <f>H28-267052</f>
        <v>149948</v>
      </c>
      <c r="M28" s="12">
        <v>209062</v>
      </c>
      <c r="N28" s="12">
        <f t="shared" si="1"/>
        <v>83400</v>
      </c>
      <c r="O28" s="14">
        <v>0.42099999999999999</v>
      </c>
      <c r="P28" s="12">
        <f t="shared" si="2"/>
        <v>356171.02137767221</v>
      </c>
      <c r="Q28" s="15">
        <f t="shared" si="3"/>
        <v>8.1765615559612534</v>
      </c>
      <c r="R28" s="15">
        <f t="shared" si="4"/>
        <v>11.400007415986687</v>
      </c>
      <c r="S28" s="10" t="s">
        <v>24</v>
      </c>
    </row>
    <row r="29" spans="1:19" x14ac:dyDescent="0.25">
      <c r="A29" s="10" t="s">
        <v>2707</v>
      </c>
      <c r="B29" s="10" t="s">
        <v>2708</v>
      </c>
      <c r="C29" s="10" t="s">
        <v>2656</v>
      </c>
      <c r="D29" s="11">
        <v>45707</v>
      </c>
      <c r="E29" s="12">
        <v>725500</v>
      </c>
      <c r="F29" s="10" t="s">
        <v>22</v>
      </c>
      <c r="G29" s="10" t="s">
        <v>23</v>
      </c>
      <c r="H29" s="12">
        <v>725500</v>
      </c>
      <c r="I29" s="12">
        <v>348280</v>
      </c>
      <c r="J29" s="13">
        <f t="shared" si="0"/>
        <v>48.005513439007579</v>
      </c>
      <c r="K29" s="12">
        <v>696553</v>
      </c>
      <c r="L29" s="12">
        <f>H29-507328</f>
        <v>218172</v>
      </c>
      <c r="M29" s="12">
        <v>189225</v>
      </c>
      <c r="N29" s="12">
        <f t="shared" si="1"/>
        <v>145100</v>
      </c>
      <c r="O29" s="14">
        <v>0.36199999999999999</v>
      </c>
      <c r="P29" s="12">
        <f t="shared" si="2"/>
        <v>602685.08287292824</v>
      </c>
      <c r="Q29" s="15">
        <f t="shared" si="3"/>
        <v>13.83574570415354</v>
      </c>
      <c r="R29" s="15">
        <f t="shared" si="4"/>
        <v>12.000022830007763</v>
      </c>
      <c r="S29" s="10" t="s">
        <v>24</v>
      </c>
    </row>
    <row r="30" spans="1:19" x14ac:dyDescent="0.25">
      <c r="A30" s="10" t="s">
        <v>2709</v>
      </c>
      <c r="B30" s="10" t="s">
        <v>2710</v>
      </c>
      <c r="C30" s="10" t="s">
        <v>2656</v>
      </c>
      <c r="D30" s="11">
        <v>45042</v>
      </c>
      <c r="E30" s="12">
        <v>650000</v>
      </c>
      <c r="F30" s="10" t="s">
        <v>29</v>
      </c>
      <c r="G30" s="10" t="s">
        <v>23</v>
      </c>
      <c r="H30" s="12">
        <v>650000</v>
      </c>
      <c r="I30" s="12">
        <v>319280</v>
      </c>
      <c r="J30" s="13">
        <f t="shared" si="0"/>
        <v>49.120000000000005</v>
      </c>
      <c r="K30" s="12">
        <v>638569</v>
      </c>
      <c r="L30" s="12">
        <f>H30-441504</f>
        <v>208496</v>
      </c>
      <c r="M30" s="12">
        <v>197065</v>
      </c>
      <c r="N30" s="12">
        <f t="shared" si="1"/>
        <v>130000</v>
      </c>
      <c r="O30" s="14">
        <v>0.377</v>
      </c>
      <c r="P30" s="12">
        <f t="shared" si="2"/>
        <v>553039.78779840854</v>
      </c>
      <c r="Q30" s="15">
        <f t="shared" si="3"/>
        <v>12.696046551845926</v>
      </c>
      <c r="R30" s="15">
        <f t="shared" si="4"/>
        <v>11.999973206869758</v>
      </c>
      <c r="S30" s="10" t="s">
        <v>24</v>
      </c>
    </row>
    <row r="31" spans="1:19" x14ac:dyDescent="0.25">
      <c r="A31" s="10" t="s">
        <v>2711</v>
      </c>
      <c r="B31" s="10" t="s">
        <v>2712</v>
      </c>
      <c r="C31" s="10" t="s">
        <v>2656</v>
      </c>
      <c r="D31" s="11">
        <v>45525</v>
      </c>
      <c r="E31" s="12">
        <v>735000</v>
      </c>
      <c r="F31" s="10" t="s">
        <v>29</v>
      </c>
      <c r="G31" s="10" t="s">
        <v>23</v>
      </c>
      <c r="H31" s="12">
        <v>735000</v>
      </c>
      <c r="I31" s="12">
        <v>370000</v>
      </c>
      <c r="J31" s="13">
        <f t="shared" si="0"/>
        <v>50.34013605442177</v>
      </c>
      <c r="K31" s="12">
        <v>740000</v>
      </c>
      <c r="L31" s="12">
        <f>H31-520980</f>
        <v>214020</v>
      </c>
      <c r="M31" s="12">
        <v>219020</v>
      </c>
      <c r="N31" s="12">
        <f t="shared" si="1"/>
        <v>147000</v>
      </c>
      <c r="O31" s="14">
        <v>0.41899999999999998</v>
      </c>
      <c r="P31" s="12">
        <f t="shared" si="2"/>
        <v>510787.58949880669</v>
      </c>
      <c r="Q31" s="15">
        <f t="shared" si="3"/>
        <v>11.726069547722835</v>
      </c>
      <c r="R31" s="15">
        <f t="shared" si="4"/>
        <v>12.000017532671036</v>
      </c>
      <c r="S31" s="10" t="s">
        <v>24</v>
      </c>
    </row>
    <row r="32" spans="1:19" x14ac:dyDescent="0.25">
      <c r="A32" s="10" t="s">
        <v>2713</v>
      </c>
      <c r="B32" s="10" t="s">
        <v>2714</v>
      </c>
      <c r="C32" s="10" t="s">
        <v>2656</v>
      </c>
      <c r="D32" s="11">
        <v>45120</v>
      </c>
      <c r="E32" s="12">
        <v>555000</v>
      </c>
      <c r="F32" s="10" t="s">
        <v>29</v>
      </c>
      <c r="G32" s="10" t="s">
        <v>23</v>
      </c>
      <c r="H32" s="12">
        <v>555000</v>
      </c>
      <c r="I32" s="12">
        <v>293640</v>
      </c>
      <c r="J32" s="13">
        <f t="shared" si="0"/>
        <v>52.908108108108109</v>
      </c>
      <c r="K32" s="12">
        <v>587288</v>
      </c>
      <c r="L32" s="12">
        <f>H32-302406</f>
        <v>252594</v>
      </c>
      <c r="M32" s="12">
        <v>284882</v>
      </c>
      <c r="N32" s="12">
        <f t="shared" si="1"/>
        <v>111000</v>
      </c>
      <c r="O32" s="14">
        <v>0.54500000000000004</v>
      </c>
      <c r="P32" s="12">
        <f t="shared" si="2"/>
        <v>463475.22935779812</v>
      </c>
      <c r="Q32" s="15">
        <f t="shared" si="3"/>
        <v>10.639927212070663</v>
      </c>
      <c r="R32" s="15">
        <f t="shared" si="4"/>
        <v>11.999983150942283</v>
      </c>
      <c r="S32" s="10" t="s">
        <v>24</v>
      </c>
    </row>
    <row r="33" spans="1:19" x14ac:dyDescent="0.25">
      <c r="A33" s="10" t="s">
        <v>2715</v>
      </c>
      <c r="B33" s="10" t="s">
        <v>2716</v>
      </c>
      <c r="C33" s="10" t="s">
        <v>2656</v>
      </c>
      <c r="D33" s="11">
        <v>45590</v>
      </c>
      <c r="E33" s="12">
        <v>500000</v>
      </c>
      <c r="F33" s="10" t="s">
        <v>22</v>
      </c>
      <c r="G33" s="10" t="s">
        <v>23</v>
      </c>
      <c r="H33" s="12">
        <v>500000</v>
      </c>
      <c r="I33" s="12">
        <v>326360</v>
      </c>
      <c r="J33" s="13">
        <f t="shared" si="0"/>
        <v>65.271999999999991</v>
      </c>
      <c r="K33" s="12">
        <v>652725</v>
      </c>
      <c r="L33" s="12">
        <f>H33-307207</f>
        <v>192793</v>
      </c>
      <c r="M33" s="12">
        <v>345518</v>
      </c>
      <c r="N33" s="12">
        <f t="shared" si="1"/>
        <v>100000</v>
      </c>
      <c r="O33" s="14">
        <v>0.66100000000000003</v>
      </c>
      <c r="P33" s="12">
        <f t="shared" si="2"/>
        <v>291668.68381240545</v>
      </c>
      <c r="Q33" s="15">
        <f t="shared" si="3"/>
        <v>6.6957916394032475</v>
      </c>
      <c r="R33" s="15">
        <f t="shared" si="4"/>
        <v>12.000002778437656</v>
      </c>
      <c r="S33" s="10" t="s">
        <v>24</v>
      </c>
    </row>
    <row r="34" spans="1:19" ht="15.75" thickBot="1" x14ac:dyDescent="0.3">
      <c r="A34" s="16"/>
      <c r="B34" s="16"/>
      <c r="C34" s="16"/>
      <c r="D34" s="17"/>
      <c r="E34" s="18"/>
      <c r="F34" s="16"/>
      <c r="G34" s="16"/>
      <c r="H34" s="18"/>
      <c r="I34" s="18"/>
      <c r="J34" s="19"/>
      <c r="K34" s="18"/>
      <c r="L34" s="18">
        <f>AVERAGE(L2:L33)</f>
        <v>305476.28125</v>
      </c>
      <c r="M34" s="18">
        <f>AVERAGE(M2:M33)</f>
        <v>216329.3125</v>
      </c>
      <c r="N34" s="18">
        <f>AVERAGE(N2:N33)</f>
        <v>184701.00625000001</v>
      </c>
      <c r="O34" s="20"/>
      <c r="P34" s="18"/>
      <c r="Q34" s="21">
        <f>AVERAGE(Q2:Q33)</f>
        <v>16.504490399495733</v>
      </c>
      <c r="R34" s="21">
        <f>AVERAGE(R2:R33)</f>
        <v>11.775000315122062</v>
      </c>
      <c r="S34" s="16"/>
    </row>
    <row r="35" spans="1:19" ht="15.75" thickTop="1" x14ac:dyDescent="0.25">
      <c r="A35" s="10"/>
      <c r="B35" s="10"/>
      <c r="C35" s="10"/>
      <c r="D35" s="11"/>
      <c r="E35" s="12"/>
      <c r="F35" s="10"/>
      <c r="G35" s="10"/>
      <c r="H35" s="12"/>
      <c r="I35" s="12"/>
      <c r="J35" s="13"/>
      <c r="K35" s="12"/>
      <c r="L35" s="12"/>
      <c r="M35" s="12"/>
      <c r="N35" s="12"/>
      <c r="O35" s="14"/>
      <c r="P35" s="12"/>
      <c r="Q35" s="15"/>
      <c r="R35" s="15"/>
      <c r="S35" s="10"/>
    </row>
    <row r="36" spans="1:19" x14ac:dyDescent="0.25">
      <c r="A36" s="10"/>
      <c r="B36" s="10"/>
      <c r="C36" s="10"/>
      <c r="D36" s="11"/>
      <c r="E36" s="12"/>
      <c r="F36" s="10"/>
      <c r="G36" s="10"/>
      <c r="H36" s="12"/>
      <c r="I36" s="12"/>
      <c r="J36" s="13"/>
      <c r="K36" s="12"/>
      <c r="L36" s="12"/>
      <c r="M36" s="12"/>
      <c r="N36" s="12"/>
      <c r="O36" s="14"/>
      <c r="P36" s="12"/>
      <c r="Q36" s="15"/>
      <c r="R36" s="15"/>
      <c r="S36" s="10"/>
    </row>
    <row r="37" spans="1:19" x14ac:dyDescent="0.25">
      <c r="A37" s="10" t="s">
        <v>2717</v>
      </c>
      <c r="B37" s="10" t="s">
        <v>2718</v>
      </c>
      <c r="C37" s="10" t="s">
        <v>2719</v>
      </c>
      <c r="D37" s="11">
        <v>45548</v>
      </c>
      <c r="E37" s="12">
        <v>592000</v>
      </c>
      <c r="F37" s="10" t="s">
        <v>22</v>
      </c>
      <c r="G37" s="10" t="s">
        <v>23</v>
      </c>
      <c r="H37" s="12">
        <v>592000</v>
      </c>
      <c r="I37" s="12">
        <v>294660</v>
      </c>
      <c r="J37" s="13">
        <f t="shared" ref="J37:J50" si="5">I37/H37*100</f>
        <v>49.773648648648653</v>
      </c>
      <c r="K37" s="12">
        <v>589323</v>
      </c>
      <c r="L37" s="12">
        <f>H37-479987</f>
        <v>112013</v>
      </c>
      <c r="M37" s="12">
        <v>109336</v>
      </c>
      <c r="N37" s="12">
        <f t="shared" ref="N37:N50" si="6">E37*0.2</f>
        <v>118400</v>
      </c>
      <c r="O37" s="14">
        <v>0.251</v>
      </c>
      <c r="P37" s="12">
        <f t="shared" ref="P37:P50" si="7">L37/O37</f>
        <v>446266.93227091635</v>
      </c>
      <c r="Q37" s="15">
        <f t="shared" ref="Q37:Q50" si="8">L37/O37/43560</f>
        <v>10.244879069580266</v>
      </c>
      <c r="R37" s="15">
        <f t="shared" ref="R37:R50" si="9">M37/O37/43560</f>
        <v>10.000036584607392</v>
      </c>
      <c r="S37" s="10" t="s">
        <v>504</v>
      </c>
    </row>
    <row r="38" spans="1:19" x14ac:dyDescent="0.25">
      <c r="A38" s="10" t="s">
        <v>2720</v>
      </c>
      <c r="B38" s="10" t="s">
        <v>2721</v>
      </c>
      <c r="C38" s="10" t="s">
        <v>2719</v>
      </c>
      <c r="D38" s="11">
        <v>45631</v>
      </c>
      <c r="E38" s="12">
        <v>635000</v>
      </c>
      <c r="F38" s="10" t="s">
        <v>22</v>
      </c>
      <c r="G38" s="10" t="s">
        <v>23</v>
      </c>
      <c r="H38" s="12">
        <v>635000</v>
      </c>
      <c r="I38" s="12">
        <v>284450</v>
      </c>
      <c r="J38" s="13">
        <f t="shared" si="5"/>
        <v>44.795275590551178</v>
      </c>
      <c r="K38" s="12">
        <v>568890</v>
      </c>
      <c r="L38" s="12">
        <f>H38-466088</f>
        <v>168912</v>
      </c>
      <c r="M38" s="12">
        <v>102802</v>
      </c>
      <c r="N38" s="12">
        <f t="shared" si="6"/>
        <v>127000</v>
      </c>
      <c r="O38" s="14">
        <v>0.23599999999999999</v>
      </c>
      <c r="P38" s="12">
        <f t="shared" si="7"/>
        <v>715728.81355932204</v>
      </c>
      <c r="Q38" s="15">
        <f t="shared" si="8"/>
        <v>16.430872671242472</v>
      </c>
      <c r="R38" s="15">
        <f t="shared" si="9"/>
        <v>10.000038909900235</v>
      </c>
      <c r="S38" s="10" t="s">
        <v>24</v>
      </c>
    </row>
    <row r="39" spans="1:19" x14ac:dyDescent="0.25">
      <c r="A39" s="10" t="s">
        <v>2722</v>
      </c>
      <c r="B39" s="10" t="s">
        <v>2723</v>
      </c>
      <c r="C39" s="10" t="s">
        <v>2719</v>
      </c>
      <c r="D39" s="11">
        <v>45026</v>
      </c>
      <c r="E39" s="12">
        <v>562050</v>
      </c>
      <c r="F39" s="10" t="s">
        <v>22</v>
      </c>
      <c r="G39" s="10" t="s">
        <v>23</v>
      </c>
      <c r="H39" s="12">
        <v>562050</v>
      </c>
      <c r="I39" s="12">
        <v>247690</v>
      </c>
      <c r="J39" s="13">
        <f t="shared" si="5"/>
        <v>44.069033004181122</v>
      </c>
      <c r="K39" s="12">
        <v>495384</v>
      </c>
      <c r="L39" s="12">
        <f>H39-372109</f>
        <v>189941</v>
      </c>
      <c r="M39" s="12">
        <v>123275</v>
      </c>
      <c r="N39" s="12">
        <f t="shared" si="6"/>
        <v>112410</v>
      </c>
      <c r="O39" s="14">
        <v>0.28299999999999997</v>
      </c>
      <c r="P39" s="12">
        <f t="shared" si="7"/>
        <v>671169.61130742054</v>
      </c>
      <c r="Q39" s="15">
        <f t="shared" si="8"/>
        <v>15.407934143880178</v>
      </c>
      <c r="R39" s="15">
        <f t="shared" si="9"/>
        <v>10.000016223915999</v>
      </c>
      <c r="S39" s="10" t="s">
        <v>24</v>
      </c>
    </row>
    <row r="40" spans="1:19" x14ac:dyDescent="0.25">
      <c r="A40" s="10" t="s">
        <v>2722</v>
      </c>
      <c r="B40" s="10" t="s">
        <v>2723</v>
      </c>
      <c r="C40" s="10" t="s">
        <v>2719</v>
      </c>
      <c r="D40" s="11">
        <v>45169</v>
      </c>
      <c r="E40" s="12">
        <v>615000</v>
      </c>
      <c r="F40" s="10" t="s">
        <v>22</v>
      </c>
      <c r="G40" s="10" t="s">
        <v>23</v>
      </c>
      <c r="H40" s="12">
        <v>615000</v>
      </c>
      <c r="I40" s="12">
        <v>247690</v>
      </c>
      <c r="J40" s="13">
        <f t="shared" si="5"/>
        <v>40.274796747967478</v>
      </c>
      <c r="K40" s="12">
        <v>495384</v>
      </c>
      <c r="L40" s="12">
        <f>H40-372109</f>
        <v>242891</v>
      </c>
      <c r="M40" s="12">
        <v>123275</v>
      </c>
      <c r="N40" s="12">
        <f t="shared" si="6"/>
        <v>123000</v>
      </c>
      <c r="O40" s="14">
        <v>0.28299999999999997</v>
      </c>
      <c r="P40" s="12">
        <f t="shared" si="7"/>
        <v>858272.08480565378</v>
      </c>
      <c r="Q40" s="15">
        <f t="shared" si="8"/>
        <v>19.703215904629335</v>
      </c>
      <c r="R40" s="15">
        <f t="shared" si="9"/>
        <v>10.000016223915999</v>
      </c>
      <c r="S40" s="10" t="s">
        <v>24</v>
      </c>
    </row>
    <row r="41" spans="1:19" x14ac:dyDescent="0.25">
      <c r="A41" s="10" t="s">
        <v>2724</v>
      </c>
      <c r="B41" s="10" t="s">
        <v>2725</v>
      </c>
      <c r="C41" s="10" t="s">
        <v>2719</v>
      </c>
      <c r="D41" s="11">
        <v>45300</v>
      </c>
      <c r="E41" s="12">
        <v>428000</v>
      </c>
      <c r="F41" s="10" t="s">
        <v>22</v>
      </c>
      <c r="G41" s="10" t="s">
        <v>23</v>
      </c>
      <c r="H41" s="12">
        <v>428000</v>
      </c>
      <c r="I41" s="12">
        <v>226590</v>
      </c>
      <c r="J41" s="13">
        <f t="shared" si="5"/>
        <v>52.941588785046733</v>
      </c>
      <c r="K41" s="12">
        <v>453179</v>
      </c>
      <c r="L41" s="12">
        <f>H41-349506</f>
        <v>78494</v>
      </c>
      <c r="M41" s="12">
        <v>103673</v>
      </c>
      <c r="N41" s="12">
        <f t="shared" si="6"/>
        <v>85600</v>
      </c>
      <c r="O41" s="14">
        <v>0.23799999999999999</v>
      </c>
      <c r="P41" s="12">
        <f t="shared" si="7"/>
        <v>329806.72268907563</v>
      </c>
      <c r="Q41" s="15">
        <f t="shared" si="8"/>
        <v>7.5713205392349776</v>
      </c>
      <c r="R41" s="15">
        <f t="shared" si="9"/>
        <v>10.000019291463142</v>
      </c>
      <c r="S41" s="10" t="s">
        <v>24</v>
      </c>
    </row>
    <row r="42" spans="1:19" x14ac:dyDescent="0.25">
      <c r="A42" s="10" t="s">
        <v>2726</v>
      </c>
      <c r="B42" s="10" t="s">
        <v>2727</v>
      </c>
      <c r="C42" s="10" t="s">
        <v>2719</v>
      </c>
      <c r="D42" s="11">
        <v>45320</v>
      </c>
      <c r="E42" s="12">
        <v>475000</v>
      </c>
      <c r="F42" s="10" t="s">
        <v>22</v>
      </c>
      <c r="G42" s="10" t="s">
        <v>23</v>
      </c>
      <c r="H42" s="12">
        <v>475000</v>
      </c>
      <c r="I42" s="12">
        <v>229800</v>
      </c>
      <c r="J42" s="13">
        <f t="shared" si="5"/>
        <v>48.378947368421052</v>
      </c>
      <c r="K42" s="12">
        <v>459599</v>
      </c>
      <c r="L42" s="12">
        <f>H42-321514</f>
        <v>153486</v>
      </c>
      <c r="M42" s="12">
        <v>138085</v>
      </c>
      <c r="N42" s="12">
        <f t="shared" si="6"/>
        <v>95000</v>
      </c>
      <c r="O42" s="14">
        <v>0.317</v>
      </c>
      <c r="P42" s="12">
        <f t="shared" si="7"/>
        <v>484182.96529968455</v>
      </c>
      <c r="Q42" s="15">
        <f t="shared" si="8"/>
        <v>11.115311416429856</v>
      </c>
      <c r="R42" s="15">
        <f t="shared" si="9"/>
        <v>9.9999855161885556</v>
      </c>
      <c r="S42" s="10" t="s">
        <v>24</v>
      </c>
    </row>
    <row r="43" spans="1:19" x14ac:dyDescent="0.25">
      <c r="A43" s="10" t="s">
        <v>2728</v>
      </c>
      <c r="B43" s="10" t="s">
        <v>2729</v>
      </c>
      <c r="C43" s="10" t="s">
        <v>2719</v>
      </c>
      <c r="D43" s="11">
        <v>45562</v>
      </c>
      <c r="E43" s="12">
        <v>568000</v>
      </c>
      <c r="F43" s="10" t="s">
        <v>22</v>
      </c>
      <c r="G43" s="10" t="s">
        <v>23</v>
      </c>
      <c r="H43" s="12">
        <v>568000</v>
      </c>
      <c r="I43" s="12">
        <v>216830</v>
      </c>
      <c r="J43" s="13">
        <f t="shared" si="5"/>
        <v>38.174295774647888</v>
      </c>
      <c r="K43" s="12">
        <v>433657</v>
      </c>
      <c r="L43" s="12">
        <f>H43-326935</f>
        <v>241065</v>
      </c>
      <c r="M43" s="12">
        <v>106722</v>
      </c>
      <c r="N43" s="12">
        <f t="shared" si="6"/>
        <v>113600</v>
      </c>
      <c r="O43" s="14">
        <v>0.245</v>
      </c>
      <c r="P43" s="12">
        <f t="shared" si="7"/>
        <v>983938.77551020414</v>
      </c>
      <c r="Q43" s="15">
        <f t="shared" si="8"/>
        <v>22.588126159554733</v>
      </c>
      <c r="R43" s="15">
        <f t="shared" si="9"/>
        <v>10</v>
      </c>
      <c r="S43" s="10" t="s">
        <v>24</v>
      </c>
    </row>
    <row r="44" spans="1:19" x14ac:dyDescent="0.25">
      <c r="A44" s="10" t="s">
        <v>2730</v>
      </c>
      <c r="B44" s="10" t="s">
        <v>2731</v>
      </c>
      <c r="C44" s="10" t="s">
        <v>2719</v>
      </c>
      <c r="D44" s="11">
        <v>45366</v>
      </c>
      <c r="E44" s="12">
        <v>522500</v>
      </c>
      <c r="F44" s="10" t="s">
        <v>29</v>
      </c>
      <c r="G44" s="10" t="s">
        <v>23</v>
      </c>
      <c r="H44" s="12">
        <v>522500</v>
      </c>
      <c r="I44" s="12">
        <v>236670</v>
      </c>
      <c r="J44" s="13">
        <f t="shared" si="5"/>
        <v>45.295693779904305</v>
      </c>
      <c r="K44" s="12">
        <v>473345</v>
      </c>
      <c r="L44" s="12">
        <f>H44-349199</f>
        <v>173301</v>
      </c>
      <c r="M44" s="12">
        <v>124146</v>
      </c>
      <c r="N44" s="12">
        <f t="shared" si="6"/>
        <v>104500</v>
      </c>
      <c r="O44" s="14">
        <v>0.28499999999999998</v>
      </c>
      <c r="P44" s="12">
        <f t="shared" si="7"/>
        <v>608073.68421052641</v>
      </c>
      <c r="Q44" s="15">
        <f t="shared" si="8"/>
        <v>13.959450969020349</v>
      </c>
      <c r="R44" s="15">
        <f t="shared" si="9"/>
        <v>10.000000000000002</v>
      </c>
      <c r="S44" s="10" t="s">
        <v>24</v>
      </c>
    </row>
    <row r="45" spans="1:19" x14ac:dyDescent="0.25">
      <c r="A45" s="10" t="s">
        <v>2732</v>
      </c>
      <c r="B45" s="10" t="s">
        <v>2733</v>
      </c>
      <c r="C45" s="10" t="s">
        <v>2719</v>
      </c>
      <c r="D45" s="11">
        <v>45442</v>
      </c>
      <c r="E45" s="12">
        <v>499170</v>
      </c>
      <c r="F45" s="10" t="s">
        <v>29</v>
      </c>
      <c r="G45" s="10" t="s">
        <v>23</v>
      </c>
      <c r="H45" s="12">
        <v>499170</v>
      </c>
      <c r="I45" s="12">
        <v>227980</v>
      </c>
      <c r="J45" s="13">
        <f t="shared" si="5"/>
        <v>45.671815213254</v>
      </c>
      <c r="K45" s="12">
        <v>455969</v>
      </c>
      <c r="L45" s="12">
        <f>H45-354910</f>
        <v>144260</v>
      </c>
      <c r="M45" s="12">
        <v>101059</v>
      </c>
      <c r="N45" s="12">
        <f t="shared" si="6"/>
        <v>99834</v>
      </c>
      <c r="O45" s="14">
        <v>0.23200000000000001</v>
      </c>
      <c r="P45" s="12">
        <f t="shared" si="7"/>
        <v>621810.3448275862</v>
      </c>
      <c r="Q45" s="15">
        <f t="shared" si="8"/>
        <v>14.274801304581869</v>
      </c>
      <c r="R45" s="15">
        <f t="shared" si="9"/>
        <v>9.9999802096197072</v>
      </c>
      <c r="S45" s="10" t="s">
        <v>24</v>
      </c>
    </row>
    <row r="46" spans="1:19" x14ac:dyDescent="0.25">
      <c r="A46" s="10" t="s">
        <v>2734</v>
      </c>
      <c r="B46" s="10" t="s">
        <v>2735</v>
      </c>
      <c r="C46" s="10" t="s">
        <v>2719</v>
      </c>
      <c r="D46" s="11">
        <v>45379</v>
      </c>
      <c r="E46" s="12">
        <v>558500</v>
      </c>
      <c r="F46" s="10" t="s">
        <v>29</v>
      </c>
      <c r="G46" s="10" t="s">
        <v>23</v>
      </c>
      <c r="H46" s="12">
        <v>558500</v>
      </c>
      <c r="I46" s="12">
        <v>243790</v>
      </c>
      <c r="J46" s="13">
        <f t="shared" si="5"/>
        <v>43.650850492390333</v>
      </c>
      <c r="K46" s="12">
        <v>487586</v>
      </c>
      <c r="L46" s="12">
        <f>H46-358648</f>
        <v>199852</v>
      </c>
      <c r="M46" s="12">
        <v>128938</v>
      </c>
      <c r="N46" s="12">
        <f t="shared" si="6"/>
        <v>111700</v>
      </c>
      <c r="O46" s="14">
        <v>0.29599999999999999</v>
      </c>
      <c r="P46" s="12">
        <f t="shared" si="7"/>
        <v>675175.67567567574</v>
      </c>
      <c r="Q46" s="15">
        <f t="shared" si="8"/>
        <v>15.499900727173456</v>
      </c>
      <c r="R46" s="15">
        <f t="shared" si="9"/>
        <v>10.000031022758296</v>
      </c>
      <c r="S46" s="10" t="s">
        <v>24</v>
      </c>
    </row>
    <row r="47" spans="1:19" x14ac:dyDescent="0.25">
      <c r="A47" s="10" t="s">
        <v>2736</v>
      </c>
      <c r="B47" s="10" t="s">
        <v>2737</v>
      </c>
      <c r="C47" s="10" t="s">
        <v>2719</v>
      </c>
      <c r="D47" s="11">
        <v>45138</v>
      </c>
      <c r="E47" s="12">
        <v>457500</v>
      </c>
      <c r="F47" s="10" t="s">
        <v>22</v>
      </c>
      <c r="G47" s="10" t="s">
        <v>23</v>
      </c>
      <c r="H47" s="12">
        <v>457500</v>
      </c>
      <c r="I47" s="12">
        <v>206130</v>
      </c>
      <c r="J47" s="13">
        <f t="shared" si="5"/>
        <v>45.05573770491803</v>
      </c>
      <c r="K47" s="12">
        <v>412259</v>
      </c>
      <c r="L47" s="12">
        <f>H47-308586</f>
        <v>148914</v>
      </c>
      <c r="M47" s="12">
        <v>103673</v>
      </c>
      <c r="N47" s="12">
        <f t="shared" si="6"/>
        <v>91500</v>
      </c>
      <c r="O47" s="14">
        <v>0.23799999999999999</v>
      </c>
      <c r="P47" s="12">
        <f t="shared" si="7"/>
        <v>625689.07563025213</v>
      </c>
      <c r="Q47" s="15">
        <f t="shared" si="8"/>
        <v>14.363844711438295</v>
      </c>
      <c r="R47" s="15">
        <f t="shared" si="9"/>
        <v>10.000019291463142</v>
      </c>
      <c r="S47" s="10" t="s">
        <v>24</v>
      </c>
    </row>
    <row r="48" spans="1:19" x14ac:dyDescent="0.25">
      <c r="A48" s="10" t="s">
        <v>2738</v>
      </c>
      <c r="B48" s="10" t="s">
        <v>2739</v>
      </c>
      <c r="C48" s="10" t="s">
        <v>2719</v>
      </c>
      <c r="D48" s="11">
        <v>45420</v>
      </c>
      <c r="E48" s="12">
        <v>508500</v>
      </c>
      <c r="F48" s="10" t="s">
        <v>29</v>
      </c>
      <c r="G48" s="10" t="s">
        <v>23</v>
      </c>
      <c r="H48" s="12">
        <v>508500</v>
      </c>
      <c r="I48" s="12">
        <v>232570</v>
      </c>
      <c r="J48" s="13">
        <f t="shared" si="5"/>
        <v>45.736479842674534</v>
      </c>
      <c r="K48" s="12">
        <v>465134</v>
      </c>
      <c r="L48" s="12">
        <f>H48-344908</f>
        <v>163592</v>
      </c>
      <c r="M48" s="12">
        <v>120226</v>
      </c>
      <c r="N48" s="12">
        <f t="shared" si="6"/>
        <v>101700</v>
      </c>
      <c r="O48" s="14">
        <v>0.27600000000000002</v>
      </c>
      <c r="P48" s="12">
        <f t="shared" si="7"/>
        <v>592724.63768115942</v>
      </c>
      <c r="Q48" s="15">
        <f t="shared" si="8"/>
        <v>13.607085346215781</v>
      </c>
      <c r="R48" s="15">
        <f t="shared" si="9"/>
        <v>10.000033270784259</v>
      </c>
      <c r="S48" s="10" t="s">
        <v>24</v>
      </c>
    </row>
    <row r="49" spans="1:19" x14ac:dyDescent="0.25">
      <c r="A49" s="10" t="s">
        <v>2740</v>
      </c>
      <c r="B49" s="10" t="s">
        <v>2741</v>
      </c>
      <c r="C49" s="10" t="s">
        <v>2719</v>
      </c>
      <c r="D49" s="11">
        <v>45504</v>
      </c>
      <c r="E49" s="12">
        <v>500000</v>
      </c>
      <c r="F49" s="10" t="s">
        <v>29</v>
      </c>
      <c r="G49" s="10" t="s">
        <v>23</v>
      </c>
      <c r="H49" s="12">
        <v>500000</v>
      </c>
      <c r="I49" s="12">
        <v>195810</v>
      </c>
      <c r="J49" s="13">
        <f t="shared" si="5"/>
        <v>39.161999999999999</v>
      </c>
      <c r="K49" s="12">
        <v>391610</v>
      </c>
      <c r="L49" s="12">
        <f>H49-257881</f>
        <v>242119</v>
      </c>
      <c r="M49" s="12">
        <v>133729</v>
      </c>
      <c r="N49" s="12">
        <f t="shared" si="6"/>
        <v>100000</v>
      </c>
      <c r="O49" s="14">
        <v>0.307</v>
      </c>
      <c r="P49" s="12">
        <f t="shared" si="7"/>
        <v>788661.2377850163</v>
      </c>
      <c r="Q49" s="15">
        <f t="shared" si="8"/>
        <v>18.105170748049044</v>
      </c>
      <c r="R49" s="15">
        <f t="shared" si="9"/>
        <v>9.9999850444031679</v>
      </c>
      <c r="S49" s="10" t="s">
        <v>24</v>
      </c>
    </row>
    <row r="50" spans="1:19" x14ac:dyDescent="0.25">
      <c r="A50" s="10" t="s">
        <v>2742</v>
      </c>
      <c r="B50" s="10" t="s">
        <v>2743</v>
      </c>
      <c r="C50" s="10" t="s">
        <v>2719</v>
      </c>
      <c r="D50" s="11">
        <v>45127</v>
      </c>
      <c r="E50" s="12">
        <v>336000</v>
      </c>
      <c r="F50" s="10" t="s">
        <v>22</v>
      </c>
      <c r="G50" s="10" t="s">
        <v>23</v>
      </c>
      <c r="H50" s="12">
        <v>336000</v>
      </c>
      <c r="I50" s="12">
        <v>207050</v>
      </c>
      <c r="J50" s="13">
        <f t="shared" si="5"/>
        <v>61.62202380952381</v>
      </c>
      <c r="K50" s="12">
        <v>414105</v>
      </c>
      <c r="L50" s="12">
        <f>H50-313133</f>
        <v>22867</v>
      </c>
      <c r="M50" s="12">
        <v>100972</v>
      </c>
      <c r="N50" s="12">
        <f t="shared" si="6"/>
        <v>67200</v>
      </c>
      <c r="O50" s="14">
        <v>0.24399999999999999</v>
      </c>
      <c r="P50" s="12">
        <f t="shared" si="7"/>
        <v>93717.213114754108</v>
      </c>
      <c r="Q50" s="15">
        <f t="shared" si="8"/>
        <v>2.1514511734332897</v>
      </c>
      <c r="R50" s="15">
        <f t="shared" si="9"/>
        <v>9.4999924731668397</v>
      </c>
      <c r="S50" s="10" t="s">
        <v>24</v>
      </c>
    </row>
    <row r="51" spans="1:19" ht="15.75" thickBot="1" x14ac:dyDescent="0.3">
      <c r="A51" s="16"/>
      <c r="B51" s="16"/>
      <c r="C51" s="16"/>
      <c r="D51" s="17"/>
      <c r="E51" s="18"/>
      <c r="F51" s="16"/>
      <c r="G51" s="16"/>
      <c r="H51" s="18"/>
      <c r="I51" s="18"/>
      <c r="J51" s="19"/>
      <c r="K51" s="18"/>
      <c r="L51" s="18">
        <f>AVERAGE(L37:L50)</f>
        <v>162979.07142857142</v>
      </c>
      <c r="M51" s="18">
        <f>AVERAGE(M37:M50)</f>
        <v>115707.92857142857</v>
      </c>
      <c r="N51" s="18">
        <f>AVERAGE(N37:N50)</f>
        <v>103674.57142857143</v>
      </c>
      <c r="O51" s="20"/>
      <c r="P51" s="18"/>
      <c r="Q51" s="21">
        <f>AVERAGE(Q37:Q50)</f>
        <v>13.930240348890278</v>
      </c>
      <c r="R51" s="21">
        <f>AVERAGE(R37:R50)</f>
        <v>9.9642967187276223</v>
      </c>
      <c r="S51" s="16"/>
    </row>
    <row r="52" spans="1:19" ht="15.75" thickTop="1" x14ac:dyDescent="0.25">
      <c r="A52" s="10"/>
      <c r="B52" s="10"/>
      <c r="C52" s="10"/>
      <c r="D52" s="11"/>
      <c r="E52" s="12"/>
      <c r="F52" s="10"/>
      <c r="G52" s="10"/>
      <c r="H52" s="12"/>
      <c r="I52" s="12"/>
      <c r="J52" s="13"/>
      <c r="K52" s="12"/>
      <c r="L52" s="12"/>
      <c r="M52" s="12"/>
      <c r="N52" s="12"/>
      <c r="O52" s="14"/>
      <c r="P52" s="12"/>
      <c r="Q52" s="15"/>
      <c r="R52" s="15"/>
      <c r="S52" s="10"/>
    </row>
    <row r="53" spans="1:19" x14ac:dyDescent="0.25">
      <c r="A53" s="10"/>
      <c r="B53" s="10"/>
      <c r="C53" s="10"/>
      <c r="D53" s="11"/>
      <c r="E53" s="12"/>
      <c r="F53" s="10"/>
      <c r="G53" s="10"/>
      <c r="H53" s="12"/>
      <c r="I53" s="12"/>
      <c r="J53" s="13"/>
      <c r="K53" s="12"/>
      <c r="L53" s="12"/>
      <c r="M53" s="12"/>
      <c r="N53" s="12"/>
      <c r="O53" s="14"/>
      <c r="P53" s="12"/>
      <c r="Q53" s="15"/>
      <c r="R53" s="15"/>
      <c r="S53" s="10"/>
    </row>
    <row r="54" spans="1:19" x14ac:dyDescent="0.25">
      <c r="A54" s="10" t="s">
        <v>2744</v>
      </c>
      <c r="B54" s="10" t="s">
        <v>2745</v>
      </c>
      <c r="C54" s="10" t="s">
        <v>2746</v>
      </c>
      <c r="D54" s="11">
        <v>45509</v>
      </c>
      <c r="E54" s="12">
        <v>1550000</v>
      </c>
      <c r="F54" s="10" t="s">
        <v>29</v>
      </c>
      <c r="G54" s="10" t="s">
        <v>23</v>
      </c>
      <c r="H54" s="12">
        <v>1550000</v>
      </c>
      <c r="I54" s="12">
        <v>854950</v>
      </c>
      <c r="J54" s="13">
        <f t="shared" ref="J54:J59" si="10">I54/H54*100</f>
        <v>55.158064516129038</v>
      </c>
      <c r="K54" s="12">
        <v>1709898</v>
      </c>
      <c r="L54" s="12">
        <f>H54-1443459</f>
        <v>106541</v>
      </c>
      <c r="M54" s="12">
        <v>266439</v>
      </c>
      <c r="N54" s="12">
        <f t="shared" ref="N54:N59" si="11">E54*0.2</f>
        <v>310000</v>
      </c>
      <c r="O54" s="14">
        <v>3.33</v>
      </c>
      <c r="P54" s="12">
        <f t="shared" ref="P54:P59" si="12">L54/O54</f>
        <v>31994.294294294294</v>
      </c>
      <c r="Q54" s="15">
        <f t="shared" ref="Q54:Q59" si="13">L54/O54/43560</f>
        <v>0.73448793145762836</v>
      </c>
      <c r="R54" s="15">
        <f t="shared" ref="R54:R59" si="14">M54/O54/43560</f>
        <v>1.8368161549979733</v>
      </c>
      <c r="S54" s="10" t="s">
        <v>24</v>
      </c>
    </row>
    <row r="55" spans="1:19" x14ac:dyDescent="0.25">
      <c r="A55" s="10" t="s">
        <v>2747</v>
      </c>
      <c r="B55" s="10" t="s">
        <v>2748</v>
      </c>
      <c r="C55" s="10" t="s">
        <v>2746</v>
      </c>
      <c r="D55" s="11">
        <v>45695</v>
      </c>
      <c r="E55" s="12">
        <v>915000</v>
      </c>
      <c r="F55" s="10" t="s">
        <v>22</v>
      </c>
      <c r="G55" s="10" t="s">
        <v>23</v>
      </c>
      <c r="H55" s="12">
        <v>915000</v>
      </c>
      <c r="I55" s="12">
        <v>128240</v>
      </c>
      <c r="J55" s="13">
        <f t="shared" si="10"/>
        <v>14.015300546448087</v>
      </c>
      <c r="K55" s="12">
        <v>256481</v>
      </c>
      <c r="L55" s="12">
        <f>H55-0</f>
        <v>915000</v>
      </c>
      <c r="M55" s="12">
        <v>256481</v>
      </c>
      <c r="N55" s="12">
        <f t="shared" si="11"/>
        <v>183000</v>
      </c>
      <c r="O55" s="14">
        <v>2.2400000000000002</v>
      </c>
      <c r="P55" s="12">
        <f t="shared" si="12"/>
        <v>408482.14285714284</v>
      </c>
      <c r="Q55" s="15">
        <f t="shared" si="13"/>
        <v>9.3774596615505708</v>
      </c>
      <c r="R55" s="15">
        <f t="shared" si="14"/>
        <v>2.6285685589662862</v>
      </c>
      <c r="S55" s="10" t="s">
        <v>24</v>
      </c>
    </row>
    <row r="56" spans="1:19" x14ac:dyDescent="0.25">
      <c r="A56" s="10" t="s">
        <v>2749</v>
      </c>
      <c r="B56" s="10" t="s">
        <v>2750</v>
      </c>
      <c r="C56" s="10" t="s">
        <v>2746</v>
      </c>
      <c r="D56" s="11">
        <v>45630</v>
      </c>
      <c r="E56" s="12">
        <v>375000</v>
      </c>
      <c r="F56" s="10" t="s">
        <v>29</v>
      </c>
      <c r="G56" s="10" t="s">
        <v>23</v>
      </c>
      <c r="H56" s="12">
        <v>375000</v>
      </c>
      <c r="I56" s="12">
        <v>194590</v>
      </c>
      <c r="J56" s="13">
        <f t="shared" si="10"/>
        <v>51.890666666666661</v>
      </c>
      <c r="K56" s="12">
        <v>389187</v>
      </c>
      <c r="L56" s="12">
        <f>H56-278109</f>
        <v>96891</v>
      </c>
      <c r="M56" s="12">
        <v>111078</v>
      </c>
      <c r="N56" s="12">
        <f t="shared" si="11"/>
        <v>75000</v>
      </c>
      <c r="O56" s="14">
        <v>0.75</v>
      </c>
      <c r="P56" s="12">
        <f t="shared" si="12"/>
        <v>129188</v>
      </c>
      <c r="Q56" s="15">
        <f t="shared" si="13"/>
        <v>2.9657483930211201</v>
      </c>
      <c r="R56" s="15">
        <f t="shared" si="14"/>
        <v>3.4</v>
      </c>
      <c r="S56" s="10" t="s">
        <v>24</v>
      </c>
    </row>
    <row r="57" spans="1:19" x14ac:dyDescent="0.25">
      <c r="A57" s="10" t="s">
        <v>2751</v>
      </c>
      <c r="B57" s="10" t="s">
        <v>2752</v>
      </c>
      <c r="C57" s="10" t="s">
        <v>2746</v>
      </c>
      <c r="D57" s="11">
        <v>45091</v>
      </c>
      <c r="E57" s="12">
        <v>1800000</v>
      </c>
      <c r="F57" s="10" t="s">
        <v>22</v>
      </c>
      <c r="G57" s="10" t="s">
        <v>23</v>
      </c>
      <c r="H57" s="12">
        <v>1800000</v>
      </c>
      <c r="I57" s="12">
        <v>578730</v>
      </c>
      <c r="J57" s="13">
        <f t="shared" si="10"/>
        <v>32.151666666666671</v>
      </c>
      <c r="K57" s="12">
        <v>1157468</v>
      </c>
      <c r="L57" s="12">
        <f>H57-923882</f>
        <v>876118</v>
      </c>
      <c r="M57" s="12">
        <v>233586</v>
      </c>
      <c r="N57" s="12">
        <f t="shared" si="11"/>
        <v>360000</v>
      </c>
      <c r="O57" s="14">
        <v>1.802</v>
      </c>
      <c r="P57" s="12">
        <f t="shared" si="12"/>
        <v>486192.00887902331</v>
      </c>
      <c r="Q57" s="15">
        <f t="shared" si="13"/>
        <v>11.16143271072138</v>
      </c>
      <c r="R57" s="15">
        <f t="shared" si="14"/>
        <v>2.9758028269782884</v>
      </c>
      <c r="S57" s="10" t="s">
        <v>24</v>
      </c>
    </row>
    <row r="58" spans="1:19" x14ac:dyDescent="0.25">
      <c r="A58" s="10" t="s">
        <v>2753</v>
      </c>
      <c r="B58" s="10" t="s">
        <v>2754</v>
      </c>
      <c r="C58" s="10" t="s">
        <v>2746</v>
      </c>
      <c r="D58" s="11">
        <v>45519</v>
      </c>
      <c r="E58" s="12">
        <v>2200000</v>
      </c>
      <c r="F58" s="10" t="s">
        <v>29</v>
      </c>
      <c r="G58" s="10" t="s">
        <v>23</v>
      </c>
      <c r="H58" s="12">
        <v>2200000</v>
      </c>
      <c r="I58" s="12">
        <v>758580</v>
      </c>
      <c r="J58" s="13">
        <f t="shared" si="10"/>
        <v>34.480909090909087</v>
      </c>
      <c r="K58" s="12">
        <v>1517168</v>
      </c>
      <c r="L58" s="12">
        <f>H58-1341186</f>
        <v>858814</v>
      </c>
      <c r="M58" s="12">
        <v>175982</v>
      </c>
      <c r="N58" s="12">
        <f t="shared" si="11"/>
        <v>440000</v>
      </c>
      <c r="O58" s="14">
        <v>1.1160000000000001</v>
      </c>
      <c r="P58" s="12">
        <f t="shared" si="12"/>
        <v>769546.59498207876</v>
      </c>
      <c r="Q58" s="15">
        <f t="shared" si="13"/>
        <v>17.666358929799788</v>
      </c>
      <c r="R58" s="15">
        <f t="shared" si="14"/>
        <v>3.6200634563293406</v>
      </c>
      <c r="S58" s="10" t="s">
        <v>24</v>
      </c>
    </row>
    <row r="59" spans="1:19" x14ac:dyDescent="0.25">
      <c r="A59" s="10" t="s">
        <v>2755</v>
      </c>
      <c r="B59" s="10" t="s">
        <v>2756</v>
      </c>
      <c r="C59" s="10" t="s">
        <v>2746</v>
      </c>
      <c r="D59" s="11">
        <v>45513</v>
      </c>
      <c r="E59" s="12">
        <v>750000</v>
      </c>
      <c r="F59" s="10" t="s">
        <v>29</v>
      </c>
      <c r="G59" s="10" t="s">
        <v>23</v>
      </c>
      <c r="H59" s="12">
        <v>750000</v>
      </c>
      <c r="I59" s="12">
        <v>90280</v>
      </c>
      <c r="J59" s="13">
        <f t="shared" si="10"/>
        <v>12.037333333333333</v>
      </c>
      <c r="K59" s="12">
        <v>180556</v>
      </c>
      <c r="L59" s="12">
        <f>H59-0</f>
        <v>750000</v>
      </c>
      <c r="M59" s="12">
        <v>180556</v>
      </c>
      <c r="N59" s="12">
        <f t="shared" si="11"/>
        <v>150000</v>
      </c>
      <c r="O59" s="14">
        <v>1.1579999999999999</v>
      </c>
      <c r="P59" s="12">
        <f t="shared" si="12"/>
        <v>647668.39378238341</v>
      </c>
      <c r="Q59" s="15">
        <f t="shared" si="13"/>
        <v>14.868420426592824</v>
      </c>
      <c r="R59" s="15">
        <f t="shared" si="14"/>
        <v>3.5794433580585254</v>
      </c>
      <c r="S59" s="10" t="s">
        <v>504</v>
      </c>
    </row>
    <row r="60" spans="1:19" ht="15.75" thickBot="1" x14ac:dyDescent="0.3">
      <c r="A60" s="16"/>
      <c r="B60" s="16"/>
      <c r="C60" s="16"/>
      <c r="D60" s="17"/>
      <c r="E60" s="18"/>
      <c r="F60" s="16"/>
      <c r="G60" s="16"/>
      <c r="H60" s="18"/>
      <c r="I60" s="18"/>
      <c r="J60" s="19"/>
      <c r="K60" s="18"/>
      <c r="L60" s="18">
        <f>AVERAGE(L54:L59)</f>
        <v>600560.66666666663</v>
      </c>
      <c r="M60" s="18">
        <f>AVERAGE(M54:M59)</f>
        <v>204020.33333333334</v>
      </c>
      <c r="N60" s="18">
        <f>AVERAGE(N54:N59)</f>
        <v>253000</v>
      </c>
      <c r="O60" s="20"/>
      <c r="P60" s="18"/>
      <c r="Q60" s="21">
        <f>AVERAGE(Q54:Q59)</f>
        <v>9.462318008857217</v>
      </c>
      <c r="R60" s="21">
        <f>AVERAGE(R54:R59)</f>
        <v>3.0067823925550687</v>
      </c>
      <c r="S60" s="16"/>
    </row>
    <row r="61" spans="1:19" ht="15.75" thickTop="1" x14ac:dyDescent="0.25">
      <c r="A61" s="10"/>
      <c r="B61" s="10"/>
      <c r="C61" s="10"/>
      <c r="D61" s="11"/>
      <c r="E61" s="12"/>
      <c r="F61" s="10"/>
      <c r="G61" s="10"/>
      <c r="H61" s="12"/>
      <c r="I61" s="12"/>
      <c r="J61" s="13"/>
      <c r="K61" s="12"/>
      <c r="L61" s="12"/>
      <c r="M61" s="12"/>
      <c r="N61" s="12"/>
      <c r="O61" s="14"/>
      <c r="P61" s="12"/>
      <c r="Q61" s="15"/>
      <c r="R61" s="15"/>
      <c r="S61" s="10"/>
    </row>
    <row r="62" spans="1:19" x14ac:dyDescent="0.25">
      <c r="A62" s="10"/>
      <c r="B62" s="10"/>
      <c r="C62" s="10"/>
      <c r="D62" s="11"/>
      <c r="E62" s="12"/>
      <c r="F62" s="10"/>
      <c r="G62" s="10"/>
      <c r="H62" s="12"/>
      <c r="I62" s="12"/>
      <c r="J62" s="13"/>
      <c r="K62" s="12"/>
      <c r="L62" s="12"/>
      <c r="M62" s="12"/>
      <c r="N62" s="12"/>
      <c r="O62" s="14"/>
      <c r="P62" s="12"/>
      <c r="Q62" s="15"/>
      <c r="R62" s="15"/>
      <c r="S62" s="10"/>
    </row>
    <row r="63" spans="1:19" x14ac:dyDescent="0.25">
      <c r="A63" s="10" t="s">
        <v>2757</v>
      </c>
      <c r="B63" s="10" t="s">
        <v>2758</v>
      </c>
      <c r="C63" s="10" t="s">
        <v>2759</v>
      </c>
      <c r="D63" s="11">
        <v>45476</v>
      </c>
      <c r="E63" s="12">
        <v>610000</v>
      </c>
      <c r="F63" s="10" t="s">
        <v>29</v>
      </c>
      <c r="G63" s="10" t="s">
        <v>23</v>
      </c>
      <c r="H63" s="12">
        <v>610000</v>
      </c>
      <c r="I63" s="12">
        <v>230560</v>
      </c>
      <c r="J63" s="13">
        <f>I63/H63*100</f>
        <v>37.796721311475409</v>
      </c>
      <c r="K63" s="12">
        <v>461117</v>
      </c>
      <c r="L63" s="12">
        <f>H63-300119</f>
        <v>309881</v>
      </c>
      <c r="M63" s="12">
        <v>160998</v>
      </c>
      <c r="N63" s="12">
        <f>E63*0.2</f>
        <v>122000</v>
      </c>
      <c r="O63" s="14">
        <v>0.57199999999999995</v>
      </c>
      <c r="P63" s="12">
        <f>L63/O63</f>
        <v>541750</v>
      </c>
      <c r="Q63" s="15">
        <f>L63/O63/43560</f>
        <v>12.436868686868687</v>
      </c>
      <c r="R63" s="15">
        <f>M63/O63/43560</f>
        <v>6.4615480937794993</v>
      </c>
      <c r="S63" s="10" t="s">
        <v>24</v>
      </c>
    </row>
    <row r="64" spans="1:19" ht="15.75" thickBot="1" x14ac:dyDescent="0.3">
      <c r="A64" s="16"/>
      <c r="B64" s="16"/>
      <c r="C64" s="16"/>
      <c r="D64" s="17"/>
      <c r="E64" s="18"/>
      <c r="F64" s="16"/>
      <c r="G64" s="16"/>
      <c r="H64" s="18"/>
      <c r="I64" s="18"/>
      <c r="J64" s="19"/>
      <c r="K64" s="18"/>
      <c r="L64" s="18">
        <f>AVERAGE(L63)</f>
        <v>309881</v>
      </c>
      <c r="M64" s="18">
        <f>AVERAGE(M63)</f>
        <v>160998</v>
      </c>
      <c r="N64" s="18">
        <f>AVERAGE(N63)</f>
        <v>122000</v>
      </c>
      <c r="O64" s="20"/>
      <c r="P64" s="18"/>
      <c r="Q64" s="21">
        <f>AVERAGE(Q63)</f>
        <v>12.436868686868687</v>
      </c>
      <c r="R64" s="21">
        <f>AVERAGE(R63)</f>
        <v>6.4615480937794993</v>
      </c>
      <c r="S64" s="16"/>
    </row>
    <row r="65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E209B-BBEB-4873-AD62-12D2FBCC3066}">
  <dimension ref="A1:S51"/>
  <sheetViews>
    <sheetView topLeftCell="A10" workbookViewId="0">
      <selection activeCell="A12" sqref="A12:XFD12"/>
    </sheetView>
  </sheetViews>
  <sheetFormatPr defaultRowHeight="15" x14ac:dyDescent="0.25"/>
  <cols>
    <col min="1" max="1" width="12.42578125" bestFit="1" customWidth="1"/>
    <col min="2" max="2" width="19.28515625" bestFit="1" customWidth="1"/>
    <col min="3" max="3" width="12.5703125" bestFit="1" customWidth="1"/>
    <col min="4" max="4" width="9.28515625" bestFit="1" customWidth="1"/>
    <col min="7" max="7" width="13.140625" bestFit="1" customWidth="1"/>
    <col min="13" max="13" width="10.8554687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180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465</v>
      </c>
      <c r="B2" s="10" t="s">
        <v>466</v>
      </c>
      <c r="C2" s="10" t="s">
        <v>467</v>
      </c>
      <c r="D2" s="11">
        <v>45169</v>
      </c>
      <c r="E2" s="12">
        <v>396000</v>
      </c>
      <c r="F2" s="10" t="s">
        <v>22</v>
      </c>
      <c r="G2" s="10" t="s">
        <v>23</v>
      </c>
      <c r="H2" s="12">
        <v>396000</v>
      </c>
      <c r="I2" s="12">
        <v>97770</v>
      </c>
      <c r="J2" s="13">
        <f t="shared" ref="J2:J8" si="0">I2/H2*100</f>
        <v>24.689393939393938</v>
      </c>
      <c r="K2" s="12">
        <v>195538</v>
      </c>
      <c r="L2" s="12">
        <f>H2-146185</f>
        <v>249815</v>
      </c>
      <c r="M2" s="12">
        <v>49353</v>
      </c>
      <c r="N2" s="12">
        <f t="shared" ref="N2:N8" si="1">E2*0.2</f>
        <v>79200</v>
      </c>
      <c r="O2" s="14">
        <v>0.41199999999999998</v>
      </c>
      <c r="P2" s="12">
        <f t="shared" ref="P2:P8" si="2">L2/O2</f>
        <v>606347.08737864078</v>
      </c>
      <c r="Q2" s="15">
        <f t="shared" ref="Q2:Q8" si="3">L2/O2/43560</f>
        <v>13.919813759840238</v>
      </c>
      <c r="R2" s="15">
        <f t="shared" ref="R2:R8" si="4">M2/O2/43560</f>
        <v>2.7499732541656638</v>
      </c>
      <c r="S2" s="10" t="s">
        <v>24</v>
      </c>
    </row>
    <row r="3" spans="1:19" x14ac:dyDescent="0.25">
      <c r="A3" s="10" t="s">
        <v>468</v>
      </c>
      <c r="B3" s="10" t="s">
        <v>469</v>
      </c>
      <c r="C3" s="10" t="s">
        <v>467</v>
      </c>
      <c r="D3" s="11">
        <v>45615</v>
      </c>
      <c r="E3" s="12">
        <v>190000</v>
      </c>
      <c r="F3" s="10" t="s">
        <v>22</v>
      </c>
      <c r="G3" s="10" t="s">
        <v>23</v>
      </c>
      <c r="H3" s="12">
        <v>190000</v>
      </c>
      <c r="I3" s="12">
        <v>82800</v>
      </c>
      <c r="J3" s="13">
        <f t="shared" si="0"/>
        <v>43.578947368421048</v>
      </c>
      <c r="K3" s="12">
        <v>165606</v>
      </c>
      <c r="L3" s="12">
        <f>H3-102891</f>
        <v>87109</v>
      </c>
      <c r="M3" s="12">
        <v>62715</v>
      </c>
      <c r="N3" s="12">
        <f t="shared" si="1"/>
        <v>38000</v>
      </c>
      <c r="O3" s="14">
        <v>0.999</v>
      </c>
      <c r="P3" s="12">
        <f t="shared" si="2"/>
        <v>87196.196196196193</v>
      </c>
      <c r="Q3" s="15">
        <f t="shared" si="3"/>
        <v>2.0017492239714461</v>
      </c>
      <c r="R3" s="15">
        <f t="shared" si="4"/>
        <v>1.4411794714825019</v>
      </c>
      <c r="S3" s="10" t="s">
        <v>24</v>
      </c>
    </row>
    <row r="4" spans="1:19" x14ac:dyDescent="0.25">
      <c r="A4" s="10" t="s">
        <v>470</v>
      </c>
      <c r="B4" s="10" t="s">
        <v>471</v>
      </c>
      <c r="C4" s="10" t="s">
        <v>467</v>
      </c>
      <c r="D4" s="11">
        <v>45166</v>
      </c>
      <c r="E4" s="12">
        <v>275000</v>
      </c>
      <c r="F4" s="10" t="s">
        <v>472</v>
      </c>
      <c r="G4" s="10" t="s">
        <v>23</v>
      </c>
      <c r="H4" s="12">
        <v>275000</v>
      </c>
      <c r="I4" s="12">
        <v>106990</v>
      </c>
      <c r="J4" s="13">
        <f t="shared" si="0"/>
        <v>38.905454545454546</v>
      </c>
      <c r="K4" s="12">
        <v>213971</v>
      </c>
      <c r="L4" s="12">
        <f>H4-136526</f>
        <v>138474</v>
      </c>
      <c r="M4" s="12">
        <v>77445</v>
      </c>
      <c r="N4" s="12">
        <f t="shared" si="1"/>
        <v>55000</v>
      </c>
      <c r="O4" s="14">
        <v>1.593</v>
      </c>
      <c r="P4" s="12">
        <f t="shared" si="2"/>
        <v>86926.553672316382</v>
      </c>
      <c r="Q4" s="15">
        <f t="shared" si="3"/>
        <v>1.9955590833865102</v>
      </c>
      <c r="R4" s="15">
        <f t="shared" si="4"/>
        <v>1.116065638407703</v>
      </c>
      <c r="S4" s="10" t="s">
        <v>24</v>
      </c>
    </row>
    <row r="5" spans="1:19" x14ac:dyDescent="0.25">
      <c r="A5" s="10" t="s">
        <v>473</v>
      </c>
      <c r="B5" s="10" t="s">
        <v>474</v>
      </c>
      <c r="C5" s="10" t="s">
        <v>467</v>
      </c>
      <c r="D5" s="11">
        <v>45282</v>
      </c>
      <c r="E5" s="12">
        <v>330000</v>
      </c>
      <c r="F5" s="10" t="s">
        <v>22</v>
      </c>
      <c r="G5" s="10" t="s">
        <v>23</v>
      </c>
      <c r="H5" s="12">
        <v>330000</v>
      </c>
      <c r="I5" s="12">
        <v>149090</v>
      </c>
      <c r="J5" s="13">
        <f t="shared" si="0"/>
        <v>45.17878787878788</v>
      </c>
      <c r="K5" s="12">
        <v>298188</v>
      </c>
      <c r="L5" s="12">
        <f>H5-242725</f>
        <v>87275</v>
      </c>
      <c r="M5" s="12">
        <v>55463</v>
      </c>
      <c r="N5" s="12">
        <f t="shared" si="1"/>
        <v>66000</v>
      </c>
      <c r="O5" s="14">
        <v>0.46300000000000002</v>
      </c>
      <c r="P5" s="12">
        <f t="shared" si="2"/>
        <v>188498.92008639307</v>
      </c>
      <c r="Q5" s="15">
        <f t="shared" si="3"/>
        <v>4.327339763232164</v>
      </c>
      <c r="R5" s="15">
        <f t="shared" si="4"/>
        <v>2.7500114040463539</v>
      </c>
      <c r="S5" s="10" t="s">
        <v>24</v>
      </c>
    </row>
    <row r="6" spans="1:19" x14ac:dyDescent="0.25">
      <c r="A6" s="10" t="s">
        <v>475</v>
      </c>
      <c r="B6" s="10" t="s">
        <v>476</v>
      </c>
      <c r="C6" s="10" t="s">
        <v>467</v>
      </c>
      <c r="D6" s="11">
        <v>45463</v>
      </c>
      <c r="E6" s="12">
        <v>325000</v>
      </c>
      <c r="F6" s="10" t="s">
        <v>22</v>
      </c>
      <c r="G6" s="10" t="s">
        <v>23</v>
      </c>
      <c r="H6" s="12">
        <v>325000</v>
      </c>
      <c r="I6" s="12">
        <v>147210</v>
      </c>
      <c r="J6" s="13">
        <f t="shared" si="0"/>
        <v>45.295384615384613</v>
      </c>
      <c r="K6" s="12">
        <v>294410</v>
      </c>
      <c r="L6" s="12">
        <f>H6-237749</f>
        <v>87251</v>
      </c>
      <c r="M6" s="12">
        <v>56661</v>
      </c>
      <c r="N6" s="12">
        <f t="shared" si="1"/>
        <v>65000</v>
      </c>
      <c r="O6" s="14">
        <v>0.47299999999999998</v>
      </c>
      <c r="P6" s="12">
        <f t="shared" si="2"/>
        <v>184463.0021141649</v>
      </c>
      <c r="Q6" s="15">
        <f t="shared" si="3"/>
        <v>4.2346878354950617</v>
      </c>
      <c r="R6" s="15">
        <f t="shared" si="4"/>
        <v>2.7500160164007945</v>
      </c>
      <c r="S6" s="10" t="s">
        <v>24</v>
      </c>
    </row>
    <row r="7" spans="1:19" x14ac:dyDescent="0.25">
      <c r="A7" s="10" t="s">
        <v>477</v>
      </c>
      <c r="B7" s="10" t="s">
        <v>478</v>
      </c>
      <c r="C7" s="10" t="s">
        <v>467</v>
      </c>
      <c r="D7" s="11">
        <v>45041</v>
      </c>
      <c r="E7" s="12">
        <v>345000</v>
      </c>
      <c r="F7" s="10" t="s">
        <v>29</v>
      </c>
      <c r="G7" s="10" t="s">
        <v>23</v>
      </c>
      <c r="H7" s="12">
        <v>345000</v>
      </c>
      <c r="I7" s="12">
        <v>188010</v>
      </c>
      <c r="J7" s="13">
        <f t="shared" si="0"/>
        <v>54.495652173913044</v>
      </c>
      <c r="K7" s="12">
        <v>376025</v>
      </c>
      <c r="L7" s="12">
        <f>H7-316078</f>
        <v>28922</v>
      </c>
      <c r="M7" s="12">
        <v>59947</v>
      </c>
      <c r="N7" s="12">
        <f t="shared" si="1"/>
        <v>69000</v>
      </c>
      <c r="O7" s="14">
        <v>0.502</v>
      </c>
      <c r="P7" s="12">
        <f t="shared" si="2"/>
        <v>57613.545816733065</v>
      </c>
      <c r="Q7" s="15">
        <f t="shared" si="3"/>
        <v>1.3226250187496111</v>
      </c>
      <c r="R7" s="15">
        <f t="shared" si="4"/>
        <v>2.7414218241816939</v>
      </c>
      <c r="S7" s="10" t="s">
        <v>24</v>
      </c>
    </row>
    <row r="8" spans="1:19" x14ac:dyDescent="0.25">
      <c r="A8" s="10" t="s">
        <v>479</v>
      </c>
      <c r="B8" s="10" t="s">
        <v>480</v>
      </c>
      <c r="C8" s="10" t="s">
        <v>467</v>
      </c>
      <c r="D8" s="11">
        <v>45394</v>
      </c>
      <c r="E8" s="12">
        <v>285000</v>
      </c>
      <c r="F8" s="10" t="s">
        <v>29</v>
      </c>
      <c r="G8" s="10" t="s">
        <v>23</v>
      </c>
      <c r="H8" s="12">
        <v>285000</v>
      </c>
      <c r="I8" s="12">
        <v>103780</v>
      </c>
      <c r="J8" s="13">
        <f t="shared" si="0"/>
        <v>36.414035087719299</v>
      </c>
      <c r="K8" s="12">
        <v>207566</v>
      </c>
      <c r="L8" s="12">
        <f>H8-155457</f>
        <v>129543</v>
      </c>
      <c r="M8" s="12">
        <v>52109</v>
      </c>
      <c r="N8" s="12">
        <f t="shared" si="1"/>
        <v>57000</v>
      </c>
      <c r="O8" s="14">
        <v>0.435</v>
      </c>
      <c r="P8" s="12">
        <f t="shared" si="2"/>
        <v>297800</v>
      </c>
      <c r="Q8" s="15">
        <f t="shared" si="3"/>
        <v>6.8365472910927458</v>
      </c>
      <c r="R8" s="15">
        <f t="shared" si="4"/>
        <v>2.750018471021606</v>
      </c>
      <c r="S8" s="10" t="s">
        <v>24</v>
      </c>
    </row>
    <row r="9" spans="1:19" ht="15.75" thickBot="1" x14ac:dyDescent="0.3">
      <c r="A9" s="16"/>
      <c r="B9" s="16"/>
      <c r="C9" s="16"/>
      <c r="D9" s="17"/>
      <c r="E9" s="18"/>
      <c r="F9" s="16"/>
      <c r="G9" s="16"/>
      <c r="H9" s="18"/>
      <c r="I9" s="18"/>
      <c r="J9" s="19"/>
      <c r="K9" s="18"/>
      <c r="L9" s="18">
        <f>AVERAGE(L2:L8)</f>
        <v>115484.14285714286</v>
      </c>
      <c r="M9" s="18">
        <f>AVERAGE(M2:M8)</f>
        <v>59099</v>
      </c>
      <c r="N9" s="18">
        <f>AVERAGE(N2:N8)</f>
        <v>61314.285714285717</v>
      </c>
      <c r="O9" s="20"/>
      <c r="P9" s="18"/>
      <c r="Q9" s="21">
        <f>AVERAGE(Q2:Q8)</f>
        <v>4.9483317108239691</v>
      </c>
      <c r="R9" s="21">
        <f>AVERAGE(R2:R8)</f>
        <v>2.3283837256723312</v>
      </c>
      <c r="S9" s="16"/>
    </row>
    <row r="10" spans="1:19" ht="15.75" thickTop="1" x14ac:dyDescent="0.25">
      <c r="A10" s="10"/>
      <c r="B10" s="10"/>
      <c r="C10" s="10"/>
      <c r="D10" s="11"/>
      <c r="E10" s="12"/>
      <c r="F10" s="10"/>
      <c r="G10" s="10"/>
      <c r="H10" s="12"/>
      <c r="I10" s="12"/>
      <c r="J10" s="13"/>
      <c r="K10" s="12"/>
      <c r="L10" s="12"/>
      <c r="M10" s="12"/>
      <c r="N10" s="12"/>
      <c r="O10" s="14"/>
      <c r="P10" s="12"/>
      <c r="Q10" s="15"/>
      <c r="R10" s="15"/>
      <c r="S10" s="10"/>
    </row>
    <row r="11" spans="1:19" x14ac:dyDescent="0.25">
      <c r="A11" s="10"/>
      <c r="B11" s="10"/>
      <c r="C11" s="10"/>
      <c r="D11" s="11"/>
      <c r="E11" s="12"/>
      <c r="F11" s="10"/>
      <c r="G11" s="10"/>
      <c r="H11" s="12"/>
      <c r="I11" s="12"/>
      <c r="J11" s="13"/>
      <c r="K11" s="12"/>
      <c r="L11" s="12"/>
      <c r="M11" s="12"/>
      <c r="N11" s="12"/>
      <c r="O11" s="14"/>
      <c r="P11" s="12"/>
      <c r="Q11" s="15"/>
      <c r="R11" s="15"/>
      <c r="S11" s="10"/>
    </row>
    <row r="12" spans="1:19" x14ac:dyDescent="0.25">
      <c r="A12" s="10" t="s">
        <v>481</v>
      </c>
      <c r="B12" s="10" t="s">
        <v>482</v>
      </c>
      <c r="C12" s="10" t="s">
        <v>483</v>
      </c>
      <c r="D12" s="11">
        <v>45281</v>
      </c>
      <c r="E12" s="12">
        <v>244000</v>
      </c>
      <c r="F12" s="10" t="s">
        <v>29</v>
      </c>
      <c r="G12" s="10" t="s">
        <v>23</v>
      </c>
      <c r="H12" s="12">
        <v>244000</v>
      </c>
      <c r="I12" s="12">
        <v>108320</v>
      </c>
      <c r="J12" s="13">
        <f t="shared" ref="J12:J37" si="5">I12/H12*100</f>
        <v>44.393442622950815</v>
      </c>
      <c r="K12" s="12">
        <v>216649</v>
      </c>
      <c r="L12" s="12">
        <f>H12-142053</f>
        <v>101947</v>
      </c>
      <c r="M12" s="12">
        <v>74596</v>
      </c>
      <c r="N12" s="12">
        <f t="shared" ref="N12:N37" si="6">E12*0.2</f>
        <v>48800</v>
      </c>
      <c r="O12" s="14">
        <v>0.27400000000000002</v>
      </c>
      <c r="P12" s="12">
        <f t="shared" ref="P12:P37" si="7">L12/O12</f>
        <v>372069.34306569339</v>
      </c>
      <c r="Q12" s="15">
        <f t="shared" ref="Q12:Q37" si="8">L12/O12/43560</f>
        <v>8.5415368013244581</v>
      </c>
      <c r="R12" s="15">
        <f t="shared" ref="R12:R37" si="9">M12/O12/43560</f>
        <v>6.2499581079541251</v>
      </c>
      <c r="S12" s="10" t="s">
        <v>24</v>
      </c>
    </row>
    <row r="13" spans="1:19" x14ac:dyDescent="0.25">
      <c r="A13" s="10" t="s">
        <v>484</v>
      </c>
      <c r="B13" s="10" t="s">
        <v>485</v>
      </c>
      <c r="C13" s="10" t="s">
        <v>483</v>
      </c>
      <c r="D13" s="11">
        <v>45504</v>
      </c>
      <c r="E13" s="12">
        <v>320000</v>
      </c>
      <c r="F13" s="10" t="s">
        <v>22</v>
      </c>
      <c r="G13" s="10" t="s">
        <v>23</v>
      </c>
      <c r="H13" s="12">
        <v>320000</v>
      </c>
      <c r="I13" s="12">
        <v>124820</v>
      </c>
      <c r="J13" s="13">
        <f t="shared" si="5"/>
        <v>39.006249999999994</v>
      </c>
      <c r="K13" s="12">
        <v>249630</v>
      </c>
      <c r="L13" s="12">
        <f>H13-167138</f>
        <v>152862</v>
      </c>
      <c r="M13" s="12">
        <v>82492</v>
      </c>
      <c r="N13" s="12">
        <f t="shared" si="6"/>
        <v>64000</v>
      </c>
      <c r="O13" s="14">
        <v>0.30299999999999999</v>
      </c>
      <c r="P13" s="12">
        <f t="shared" si="7"/>
        <v>504495.04950495053</v>
      </c>
      <c r="Q13" s="15">
        <f t="shared" si="8"/>
        <v>11.581612706725219</v>
      </c>
      <c r="R13" s="15">
        <f t="shared" si="9"/>
        <v>6.2500189412880687</v>
      </c>
      <c r="S13" s="10" t="s">
        <v>24</v>
      </c>
    </row>
    <row r="14" spans="1:19" x14ac:dyDescent="0.25">
      <c r="A14" s="10" t="s">
        <v>486</v>
      </c>
      <c r="B14" s="10" t="s">
        <v>487</v>
      </c>
      <c r="C14" s="10" t="s">
        <v>483</v>
      </c>
      <c r="D14" s="11">
        <v>45454</v>
      </c>
      <c r="E14" s="12">
        <v>420000</v>
      </c>
      <c r="F14" s="10" t="s">
        <v>22</v>
      </c>
      <c r="G14" s="10" t="s">
        <v>23</v>
      </c>
      <c r="H14" s="12">
        <v>420000</v>
      </c>
      <c r="I14" s="12">
        <v>225100</v>
      </c>
      <c r="J14" s="13">
        <f t="shared" si="5"/>
        <v>53.595238095238095</v>
      </c>
      <c r="K14" s="12">
        <v>450195</v>
      </c>
      <c r="L14" s="12">
        <f>H14-311156</f>
        <v>108844</v>
      </c>
      <c r="M14" s="12">
        <v>139039</v>
      </c>
      <c r="N14" s="12">
        <f t="shared" si="6"/>
        <v>84000</v>
      </c>
      <c r="O14" s="14">
        <v>0.72299999999999998</v>
      </c>
      <c r="P14" s="12">
        <f t="shared" si="7"/>
        <v>150544.95159059475</v>
      </c>
      <c r="Q14" s="15">
        <f t="shared" si="8"/>
        <v>3.4560365378924414</v>
      </c>
      <c r="R14" s="15">
        <f t="shared" si="9"/>
        <v>4.4147942393887316</v>
      </c>
      <c r="S14" s="10" t="s">
        <v>24</v>
      </c>
    </row>
    <row r="15" spans="1:19" x14ac:dyDescent="0.25">
      <c r="A15" s="10" t="s">
        <v>488</v>
      </c>
      <c r="B15" s="10" t="s">
        <v>489</v>
      </c>
      <c r="C15" s="10" t="s">
        <v>483</v>
      </c>
      <c r="D15" s="11">
        <v>45666</v>
      </c>
      <c r="E15" s="12">
        <v>417000</v>
      </c>
      <c r="F15" s="10" t="s">
        <v>22</v>
      </c>
      <c r="G15" s="10" t="s">
        <v>23</v>
      </c>
      <c r="H15" s="12">
        <v>417000</v>
      </c>
      <c r="I15" s="12">
        <v>185620</v>
      </c>
      <c r="J15" s="13">
        <f t="shared" si="5"/>
        <v>44.513189448441246</v>
      </c>
      <c r="K15" s="12">
        <v>371230</v>
      </c>
      <c r="L15" s="12">
        <f>H15-296634</f>
        <v>120366</v>
      </c>
      <c r="M15" s="12">
        <v>74596</v>
      </c>
      <c r="N15" s="12">
        <f t="shared" si="6"/>
        <v>83400</v>
      </c>
      <c r="O15" s="14">
        <v>0.27400000000000002</v>
      </c>
      <c r="P15" s="12">
        <f t="shared" si="7"/>
        <v>439291.97080291965</v>
      </c>
      <c r="Q15" s="15">
        <f t="shared" si="8"/>
        <v>10.084755987211194</v>
      </c>
      <c r="R15" s="15">
        <f t="shared" si="9"/>
        <v>6.2499581079541251</v>
      </c>
      <c r="S15" s="10" t="s">
        <v>24</v>
      </c>
    </row>
    <row r="16" spans="1:19" x14ac:dyDescent="0.25">
      <c r="A16" s="10" t="s">
        <v>490</v>
      </c>
      <c r="B16" s="10" t="s">
        <v>491</v>
      </c>
      <c r="C16" s="10" t="s">
        <v>483</v>
      </c>
      <c r="D16" s="11">
        <v>45457</v>
      </c>
      <c r="E16" s="12">
        <v>317550</v>
      </c>
      <c r="F16" s="10" t="s">
        <v>29</v>
      </c>
      <c r="G16" s="10" t="s">
        <v>23</v>
      </c>
      <c r="H16" s="12">
        <v>317550</v>
      </c>
      <c r="I16" s="12">
        <v>136720</v>
      </c>
      <c r="J16" s="13">
        <f t="shared" si="5"/>
        <v>43.054637065029127</v>
      </c>
      <c r="K16" s="12">
        <v>273439</v>
      </c>
      <c r="L16" s="12">
        <f>H16-198026</f>
        <v>119524</v>
      </c>
      <c r="M16" s="12">
        <v>75413</v>
      </c>
      <c r="N16" s="12">
        <f t="shared" si="6"/>
        <v>63510</v>
      </c>
      <c r="O16" s="14">
        <v>0.27700000000000002</v>
      </c>
      <c r="P16" s="12">
        <f t="shared" si="7"/>
        <v>431494.58483754512</v>
      </c>
      <c r="Q16" s="15">
        <f t="shared" si="8"/>
        <v>9.9057526363072803</v>
      </c>
      <c r="R16" s="15">
        <f t="shared" si="9"/>
        <v>6.2499792808292964</v>
      </c>
      <c r="S16" s="10" t="s">
        <v>24</v>
      </c>
    </row>
    <row r="17" spans="1:19" x14ac:dyDescent="0.25">
      <c r="A17" s="10" t="s">
        <v>492</v>
      </c>
      <c r="B17" s="10" t="s">
        <v>493</v>
      </c>
      <c r="C17" s="10" t="s">
        <v>483</v>
      </c>
      <c r="D17" s="11">
        <v>45029</v>
      </c>
      <c r="E17" s="12">
        <v>225000</v>
      </c>
      <c r="F17" s="10" t="s">
        <v>22</v>
      </c>
      <c r="G17" s="10" t="s">
        <v>23</v>
      </c>
      <c r="H17" s="12">
        <v>225000</v>
      </c>
      <c r="I17" s="12">
        <v>120720</v>
      </c>
      <c r="J17" s="13">
        <f t="shared" si="5"/>
        <v>53.653333333333329</v>
      </c>
      <c r="K17" s="12">
        <v>241447</v>
      </c>
      <c r="L17" s="12">
        <f>H17-168756</f>
        <v>56244</v>
      </c>
      <c r="M17" s="12">
        <v>72691</v>
      </c>
      <c r="N17" s="12">
        <f t="shared" si="6"/>
        <v>45000</v>
      </c>
      <c r="O17" s="14">
        <v>0.26700000000000002</v>
      </c>
      <c r="P17" s="12">
        <f t="shared" si="7"/>
        <v>210651.68539325841</v>
      </c>
      <c r="Q17" s="15">
        <f t="shared" si="8"/>
        <v>4.8358972771638751</v>
      </c>
      <c r="R17" s="15">
        <f t="shared" si="9"/>
        <v>6.2500214951696051</v>
      </c>
      <c r="S17" s="10" t="s">
        <v>24</v>
      </c>
    </row>
    <row r="18" spans="1:19" x14ac:dyDescent="0.25">
      <c r="A18" s="10" t="s">
        <v>494</v>
      </c>
      <c r="B18" s="10" t="s">
        <v>495</v>
      </c>
      <c r="C18" s="10" t="s">
        <v>483</v>
      </c>
      <c r="D18" s="11">
        <v>45443</v>
      </c>
      <c r="E18" s="12">
        <v>315000</v>
      </c>
      <c r="F18" s="10" t="s">
        <v>22</v>
      </c>
      <c r="G18" s="10" t="s">
        <v>23</v>
      </c>
      <c r="H18" s="12">
        <v>315000</v>
      </c>
      <c r="I18" s="12">
        <v>187350</v>
      </c>
      <c r="J18" s="13">
        <f t="shared" si="5"/>
        <v>59.476190476190474</v>
      </c>
      <c r="K18" s="12">
        <v>374694</v>
      </c>
      <c r="L18" s="12">
        <f>H18-237589</f>
        <v>77411</v>
      </c>
      <c r="M18" s="12">
        <v>137105</v>
      </c>
      <c r="N18" s="12">
        <f t="shared" si="6"/>
        <v>63000</v>
      </c>
      <c r="O18" s="14">
        <v>0.57499999999999996</v>
      </c>
      <c r="P18" s="12">
        <f t="shared" si="7"/>
        <v>134627.82608695654</v>
      </c>
      <c r="Q18" s="15">
        <f t="shared" si="8"/>
        <v>3.0906296163213165</v>
      </c>
      <c r="R18" s="15">
        <f t="shared" si="9"/>
        <v>5.4739090509841501</v>
      </c>
      <c r="S18" s="10" t="s">
        <v>24</v>
      </c>
    </row>
    <row r="19" spans="1:19" x14ac:dyDescent="0.25">
      <c r="A19" s="10" t="s">
        <v>496</v>
      </c>
      <c r="B19" s="10" t="s">
        <v>497</v>
      </c>
      <c r="C19" s="10" t="s">
        <v>483</v>
      </c>
      <c r="D19" s="11">
        <v>45097</v>
      </c>
      <c r="E19" s="12">
        <v>340000</v>
      </c>
      <c r="F19" s="10" t="s">
        <v>22</v>
      </c>
      <c r="G19" s="10" t="s">
        <v>23</v>
      </c>
      <c r="H19" s="12">
        <v>340000</v>
      </c>
      <c r="I19" s="12">
        <v>163440</v>
      </c>
      <c r="J19" s="13">
        <f t="shared" si="5"/>
        <v>48.070588235294117</v>
      </c>
      <c r="K19" s="12">
        <v>326870</v>
      </c>
      <c r="L19" s="12">
        <f>H19-189059</f>
        <v>150941</v>
      </c>
      <c r="M19" s="12">
        <v>137811</v>
      </c>
      <c r="N19" s="12">
        <f t="shared" si="6"/>
        <v>68000</v>
      </c>
      <c r="O19" s="14">
        <v>0.629</v>
      </c>
      <c r="P19" s="12">
        <f t="shared" si="7"/>
        <v>239969.79332273451</v>
      </c>
      <c r="Q19" s="15">
        <f t="shared" si="8"/>
        <v>5.5089484233869266</v>
      </c>
      <c r="R19" s="15">
        <f t="shared" si="9"/>
        <v>5.0297380511284251</v>
      </c>
      <c r="S19" s="10" t="s">
        <v>24</v>
      </c>
    </row>
    <row r="20" spans="1:19" x14ac:dyDescent="0.25">
      <c r="A20" s="10" t="s">
        <v>498</v>
      </c>
      <c r="B20" s="10" t="s">
        <v>499</v>
      </c>
      <c r="C20" s="10" t="s">
        <v>483</v>
      </c>
      <c r="D20" s="11">
        <v>45153</v>
      </c>
      <c r="E20" s="12">
        <v>432000</v>
      </c>
      <c r="F20" s="10" t="s">
        <v>22</v>
      </c>
      <c r="G20" s="10" t="s">
        <v>23</v>
      </c>
      <c r="H20" s="12">
        <v>432000</v>
      </c>
      <c r="I20" s="12">
        <v>248430</v>
      </c>
      <c r="J20" s="13">
        <f t="shared" si="5"/>
        <v>57.506944444444443</v>
      </c>
      <c r="K20" s="12">
        <v>496861</v>
      </c>
      <c r="L20" s="12">
        <f>H20-415458</f>
        <v>16542</v>
      </c>
      <c r="M20" s="12">
        <v>81403</v>
      </c>
      <c r="N20" s="12">
        <f t="shared" si="6"/>
        <v>86400</v>
      </c>
      <c r="O20" s="14">
        <v>0.29899999999999999</v>
      </c>
      <c r="P20" s="12">
        <f t="shared" si="7"/>
        <v>55324.414715719067</v>
      </c>
      <c r="Q20" s="15">
        <f t="shared" si="8"/>
        <v>1.2700737997180687</v>
      </c>
      <c r="R20" s="15">
        <f t="shared" si="9"/>
        <v>6.250019194683226</v>
      </c>
      <c r="S20" s="10" t="s">
        <v>24</v>
      </c>
    </row>
    <row r="21" spans="1:19" x14ac:dyDescent="0.25">
      <c r="A21" s="10" t="s">
        <v>500</v>
      </c>
      <c r="B21" s="10" t="s">
        <v>501</v>
      </c>
      <c r="C21" s="10" t="s">
        <v>483</v>
      </c>
      <c r="D21" s="11">
        <v>45685</v>
      </c>
      <c r="E21" s="12">
        <v>405000</v>
      </c>
      <c r="F21" s="10" t="s">
        <v>22</v>
      </c>
      <c r="G21" s="10" t="s">
        <v>23</v>
      </c>
      <c r="H21" s="12">
        <v>405000</v>
      </c>
      <c r="I21" s="12">
        <v>177220</v>
      </c>
      <c r="J21" s="13">
        <f t="shared" si="5"/>
        <v>43.758024691358024</v>
      </c>
      <c r="K21" s="12">
        <v>354433</v>
      </c>
      <c r="L21" s="12">
        <f>H21-268130</f>
        <v>136870</v>
      </c>
      <c r="M21" s="12">
        <v>86303</v>
      </c>
      <c r="N21" s="12">
        <f t="shared" si="6"/>
        <v>81000</v>
      </c>
      <c r="O21" s="14">
        <v>0.317</v>
      </c>
      <c r="P21" s="12">
        <f t="shared" si="7"/>
        <v>431766.56151419558</v>
      </c>
      <c r="Q21" s="15">
        <f t="shared" si="8"/>
        <v>9.9119963616665654</v>
      </c>
      <c r="R21" s="15">
        <f t="shared" si="9"/>
        <v>6.2499818952356945</v>
      </c>
      <c r="S21" s="10" t="s">
        <v>24</v>
      </c>
    </row>
    <row r="22" spans="1:19" x14ac:dyDescent="0.25">
      <c r="A22" s="10" t="s">
        <v>502</v>
      </c>
      <c r="B22" s="10" t="s">
        <v>503</v>
      </c>
      <c r="C22" s="10" t="s">
        <v>483</v>
      </c>
      <c r="D22" s="11">
        <v>45715</v>
      </c>
      <c r="E22" s="12">
        <v>112000</v>
      </c>
      <c r="F22" s="10" t="s">
        <v>22</v>
      </c>
      <c r="G22" s="10" t="s">
        <v>23</v>
      </c>
      <c r="H22" s="12">
        <v>112000</v>
      </c>
      <c r="I22" s="12">
        <v>50640</v>
      </c>
      <c r="J22" s="13">
        <f t="shared" si="5"/>
        <v>45.214285714285715</v>
      </c>
      <c r="K22" s="12">
        <v>101277</v>
      </c>
      <c r="L22" s="12">
        <f>H22-0</f>
        <v>112000</v>
      </c>
      <c r="M22" s="12">
        <v>101277</v>
      </c>
      <c r="N22" s="12">
        <f t="shared" si="6"/>
        <v>22400</v>
      </c>
      <c r="O22" s="14">
        <v>0.372</v>
      </c>
      <c r="P22" s="12">
        <f t="shared" si="7"/>
        <v>301075.26881720428</v>
      </c>
      <c r="Q22" s="15">
        <f t="shared" si="8"/>
        <v>6.9117371170157087</v>
      </c>
      <c r="R22" s="15">
        <f t="shared" si="9"/>
        <v>6.25</v>
      </c>
      <c r="S22" s="10" t="s">
        <v>504</v>
      </c>
    </row>
    <row r="23" spans="1:19" x14ac:dyDescent="0.25">
      <c r="A23" s="10" t="s">
        <v>505</v>
      </c>
      <c r="B23" s="10" t="s">
        <v>506</v>
      </c>
      <c r="C23" s="10" t="s">
        <v>483</v>
      </c>
      <c r="D23" s="11">
        <v>45159</v>
      </c>
      <c r="E23" s="12">
        <v>280000</v>
      </c>
      <c r="F23" s="10" t="s">
        <v>22</v>
      </c>
      <c r="G23" s="10" t="s">
        <v>23</v>
      </c>
      <c r="H23" s="12">
        <v>280000</v>
      </c>
      <c r="I23" s="12">
        <v>163860</v>
      </c>
      <c r="J23" s="13">
        <f t="shared" si="5"/>
        <v>58.521428571428572</v>
      </c>
      <c r="K23" s="12">
        <v>327719</v>
      </c>
      <c r="L23" s="12">
        <f>H23-261562</f>
        <v>18438</v>
      </c>
      <c r="M23" s="12">
        <v>66157</v>
      </c>
      <c r="N23" s="12">
        <f t="shared" si="6"/>
        <v>56000</v>
      </c>
      <c r="O23" s="14">
        <v>0.24299999999999999</v>
      </c>
      <c r="P23" s="12">
        <f t="shared" si="7"/>
        <v>75876.543209876545</v>
      </c>
      <c r="Q23" s="15">
        <f t="shared" si="8"/>
        <v>1.7418857486197554</v>
      </c>
      <c r="R23" s="15">
        <f t="shared" si="9"/>
        <v>6.2500236181493198</v>
      </c>
      <c r="S23" s="10" t="s">
        <v>24</v>
      </c>
    </row>
    <row r="24" spans="1:19" x14ac:dyDescent="0.25">
      <c r="A24" s="10" t="s">
        <v>505</v>
      </c>
      <c r="B24" s="10" t="s">
        <v>506</v>
      </c>
      <c r="C24" s="10" t="s">
        <v>483</v>
      </c>
      <c r="D24" s="11">
        <v>45159</v>
      </c>
      <c r="E24" s="12">
        <v>285000</v>
      </c>
      <c r="F24" s="10" t="s">
        <v>472</v>
      </c>
      <c r="G24" s="10" t="s">
        <v>23</v>
      </c>
      <c r="H24" s="12">
        <v>285000</v>
      </c>
      <c r="I24" s="12">
        <v>163860</v>
      </c>
      <c r="J24" s="13">
        <f t="shared" si="5"/>
        <v>57.494736842105269</v>
      </c>
      <c r="K24" s="12">
        <v>327719</v>
      </c>
      <c r="L24" s="12">
        <f>H24-261562</f>
        <v>23438</v>
      </c>
      <c r="M24" s="12">
        <v>66157</v>
      </c>
      <c r="N24" s="12">
        <f t="shared" si="6"/>
        <v>57000</v>
      </c>
      <c r="O24" s="14">
        <v>0.24299999999999999</v>
      </c>
      <c r="P24" s="12">
        <f t="shared" si="7"/>
        <v>96452.674897119345</v>
      </c>
      <c r="Q24" s="15">
        <f t="shared" si="8"/>
        <v>2.2142487350119224</v>
      </c>
      <c r="R24" s="15">
        <f t="shared" si="9"/>
        <v>6.2500236181493198</v>
      </c>
      <c r="S24" s="10" t="s">
        <v>24</v>
      </c>
    </row>
    <row r="25" spans="1:19" x14ac:dyDescent="0.25">
      <c r="A25" s="10" t="s">
        <v>507</v>
      </c>
      <c r="B25" s="10" t="s">
        <v>508</v>
      </c>
      <c r="C25" s="10" t="s">
        <v>483</v>
      </c>
      <c r="D25" s="11">
        <v>45503</v>
      </c>
      <c r="E25" s="12">
        <v>240000</v>
      </c>
      <c r="F25" s="10" t="s">
        <v>22</v>
      </c>
      <c r="G25" s="10" t="s">
        <v>23</v>
      </c>
      <c r="H25" s="12">
        <v>240000</v>
      </c>
      <c r="I25" s="12">
        <v>151570</v>
      </c>
      <c r="J25" s="13">
        <f t="shared" si="5"/>
        <v>63.154166666666669</v>
      </c>
      <c r="K25" s="12">
        <v>303134</v>
      </c>
      <c r="L25" s="12">
        <f>H25-199951</f>
        <v>40049</v>
      </c>
      <c r="M25" s="12">
        <v>103183</v>
      </c>
      <c r="N25" s="12">
        <f t="shared" si="6"/>
        <v>48000</v>
      </c>
      <c r="O25" s="14">
        <v>0.379</v>
      </c>
      <c r="P25" s="12">
        <f t="shared" si="7"/>
        <v>105670.18469656992</v>
      </c>
      <c r="Q25" s="15">
        <f t="shared" si="8"/>
        <v>2.4258536431719451</v>
      </c>
      <c r="R25" s="15">
        <f t="shared" si="9"/>
        <v>6.2500151430350526</v>
      </c>
      <c r="S25" s="10" t="s">
        <v>24</v>
      </c>
    </row>
    <row r="26" spans="1:19" x14ac:dyDescent="0.25">
      <c r="A26" s="10" t="s">
        <v>507</v>
      </c>
      <c r="B26" s="10" t="s">
        <v>508</v>
      </c>
      <c r="C26" s="10" t="s">
        <v>483</v>
      </c>
      <c r="D26" s="11">
        <v>45698</v>
      </c>
      <c r="E26" s="12">
        <v>385000</v>
      </c>
      <c r="F26" s="10" t="s">
        <v>22</v>
      </c>
      <c r="G26" s="10" t="s">
        <v>23</v>
      </c>
      <c r="H26" s="12">
        <v>385000</v>
      </c>
      <c r="I26" s="12">
        <v>147630</v>
      </c>
      <c r="J26" s="13">
        <f t="shared" si="5"/>
        <v>38.345454545454544</v>
      </c>
      <c r="K26" s="12">
        <v>295262</v>
      </c>
      <c r="L26" s="12">
        <f>H26-192079</f>
        <v>192921</v>
      </c>
      <c r="M26" s="12">
        <v>103183</v>
      </c>
      <c r="N26" s="12">
        <f t="shared" si="6"/>
        <v>77000</v>
      </c>
      <c r="O26" s="14">
        <v>0.379</v>
      </c>
      <c r="P26" s="12">
        <f t="shared" si="7"/>
        <v>509026.38522427442</v>
      </c>
      <c r="Q26" s="15">
        <f t="shared" si="8"/>
        <v>11.68563786097967</v>
      </c>
      <c r="R26" s="15">
        <f t="shared" si="9"/>
        <v>6.2500151430350526</v>
      </c>
      <c r="S26" s="10" t="s">
        <v>24</v>
      </c>
    </row>
    <row r="27" spans="1:19" x14ac:dyDescent="0.25">
      <c r="A27" s="10" t="s">
        <v>509</v>
      </c>
      <c r="B27" s="10" t="s">
        <v>510</v>
      </c>
      <c r="C27" s="10" t="s">
        <v>483</v>
      </c>
      <c r="D27" s="11">
        <v>45506</v>
      </c>
      <c r="E27" s="12">
        <v>300500</v>
      </c>
      <c r="F27" s="10" t="s">
        <v>29</v>
      </c>
      <c r="G27" s="10" t="s">
        <v>23</v>
      </c>
      <c r="H27" s="12">
        <v>300500</v>
      </c>
      <c r="I27" s="12">
        <v>143060</v>
      </c>
      <c r="J27" s="13">
        <f t="shared" si="5"/>
        <v>47.607321131447591</v>
      </c>
      <c r="K27" s="12">
        <v>286120</v>
      </c>
      <c r="L27" s="12">
        <f>H27-217513</f>
        <v>82987</v>
      </c>
      <c r="M27" s="12">
        <v>68607</v>
      </c>
      <c r="N27" s="12">
        <f t="shared" si="6"/>
        <v>60100</v>
      </c>
      <c r="O27" s="14">
        <v>0.252</v>
      </c>
      <c r="P27" s="12">
        <f t="shared" si="7"/>
        <v>329313.49206349207</v>
      </c>
      <c r="Q27" s="15">
        <f t="shared" si="8"/>
        <v>7.5599975221187341</v>
      </c>
      <c r="R27" s="15">
        <f t="shared" si="9"/>
        <v>6.25</v>
      </c>
      <c r="S27" s="10" t="s">
        <v>24</v>
      </c>
    </row>
    <row r="28" spans="1:19" x14ac:dyDescent="0.25">
      <c r="A28" s="10" t="s">
        <v>511</v>
      </c>
      <c r="B28" s="10" t="s">
        <v>512</v>
      </c>
      <c r="C28" s="10" t="s">
        <v>483</v>
      </c>
      <c r="D28" s="11">
        <v>45161</v>
      </c>
      <c r="E28" s="12">
        <v>235000</v>
      </c>
      <c r="F28" s="10" t="s">
        <v>22</v>
      </c>
      <c r="G28" s="10" t="s">
        <v>23</v>
      </c>
      <c r="H28" s="12">
        <v>235000</v>
      </c>
      <c r="I28" s="12">
        <v>119660</v>
      </c>
      <c r="J28" s="13">
        <f t="shared" si="5"/>
        <v>50.91914893617021</v>
      </c>
      <c r="K28" s="12">
        <v>239310</v>
      </c>
      <c r="L28" s="12">
        <f>H28-154912</f>
        <v>80088</v>
      </c>
      <c r="M28" s="12">
        <v>84398</v>
      </c>
      <c r="N28" s="12">
        <f t="shared" si="6"/>
        <v>47000</v>
      </c>
      <c r="O28" s="14">
        <v>0.31</v>
      </c>
      <c r="P28" s="12">
        <f t="shared" si="7"/>
        <v>258348.38709677418</v>
      </c>
      <c r="Q28" s="15">
        <f t="shared" si="8"/>
        <v>5.9308628810095083</v>
      </c>
      <c r="R28" s="15">
        <f t="shared" si="9"/>
        <v>6.2500370271631267</v>
      </c>
      <c r="S28" s="10" t="s">
        <v>24</v>
      </c>
    </row>
    <row r="29" spans="1:19" x14ac:dyDescent="0.25">
      <c r="A29" s="10" t="s">
        <v>513</v>
      </c>
      <c r="B29" s="10" t="s">
        <v>514</v>
      </c>
      <c r="C29" s="10" t="s">
        <v>483</v>
      </c>
      <c r="D29" s="11">
        <v>45471</v>
      </c>
      <c r="E29" s="12">
        <v>430000</v>
      </c>
      <c r="F29" s="10" t="s">
        <v>22</v>
      </c>
      <c r="G29" s="10" t="s">
        <v>23</v>
      </c>
      <c r="H29" s="12">
        <v>430000</v>
      </c>
      <c r="I29" s="12">
        <v>218260</v>
      </c>
      <c r="J29" s="13">
        <f t="shared" si="5"/>
        <v>50.758139534883718</v>
      </c>
      <c r="K29" s="12">
        <v>436520</v>
      </c>
      <c r="L29" s="12">
        <f>H29-349128</f>
        <v>80872</v>
      </c>
      <c r="M29" s="12">
        <v>87392</v>
      </c>
      <c r="N29" s="12">
        <f t="shared" si="6"/>
        <v>86000</v>
      </c>
      <c r="O29" s="14">
        <v>0.32100000000000001</v>
      </c>
      <c r="P29" s="12">
        <f t="shared" si="7"/>
        <v>251937.69470404985</v>
      </c>
      <c r="Q29" s="15">
        <f t="shared" si="8"/>
        <v>5.7836936341609242</v>
      </c>
      <c r="R29" s="15">
        <f t="shared" si="9"/>
        <v>6.249982120840234</v>
      </c>
      <c r="S29" s="10" t="s">
        <v>24</v>
      </c>
    </row>
    <row r="30" spans="1:19" x14ac:dyDescent="0.25">
      <c r="A30" s="10" t="s">
        <v>515</v>
      </c>
      <c r="B30" s="10" t="s">
        <v>516</v>
      </c>
      <c r="C30" s="10" t="s">
        <v>483</v>
      </c>
      <c r="D30" s="11">
        <v>45562</v>
      </c>
      <c r="E30" s="12">
        <v>279000</v>
      </c>
      <c r="F30" s="10" t="s">
        <v>22</v>
      </c>
      <c r="G30" s="10" t="s">
        <v>23</v>
      </c>
      <c r="H30" s="12">
        <v>279000</v>
      </c>
      <c r="I30" s="12">
        <v>112540</v>
      </c>
      <c r="J30" s="13">
        <f t="shared" si="5"/>
        <v>40.336917562724011</v>
      </c>
      <c r="K30" s="12">
        <v>225088</v>
      </c>
      <c r="L30" s="12">
        <f>H30-108565</f>
        <v>170435</v>
      </c>
      <c r="M30" s="12">
        <v>116523</v>
      </c>
      <c r="N30" s="12">
        <f t="shared" si="6"/>
        <v>55800</v>
      </c>
      <c r="O30" s="14">
        <v>0.42799999999999999</v>
      </c>
      <c r="P30" s="12">
        <f t="shared" si="7"/>
        <v>398212.61682242993</v>
      </c>
      <c r="Q30" s="15">
        <f t="shared" si="8"/>
        <v>9.1417037838023401</v>
      </c>
      <c r="R30" s="15">
        <f t="shared" si="9"/>
        <v>6.25</v>
      </c>
      <c r="S30" s="10" t="s">
        <v>24</v>
      </c>
    </row>
    <row r="31" spans="1:19" x14ac:dyDescent="0.25">
      <c r="A31" s="10" t="s">
        <v>517</v>
      </c>
      <c r="B31" s="10" t="s">
        <v>518</v>
      </c>
      <c r="C31" s="10" t="s">
        <v>483</v>
      </c>
      <c r="D31" s="11">
        <v>45232</v>
      </c>
      <c r="E31" s="12">
        <v>265000</v>
      </c>
      <c r="F31" s="10" t="s">
        <v>29</v>
      </c>
      <c r="G31" s="10" t="s">
        <v>23</v>
      </c>
      <c r="H31" s="12">
        <v>265000</v>
      </c>
      <c r="I31" s="12">
        <v>151260</v>
      </c>
      <c r="J31" s="13">
        <f t="shared" si="5"/>
        <v>57.079245283018864</v>
      </c>
      <c r="K31" s="12">
        <v>302513</v>
      </c>
      <c r="L31" s="12">
        <f>H31-181089</f>
        <v>83911</v>
      </c>
      <c r="M31" s="12">
        <v>121424</v>
      </c>
      <c r="N31" s="12">
        <f t="shared" si="6"/>
        <v>53000</v>
      </c>
      <c r="O31" s="14">
        <v>0.44600000000000001</v>
      </c>
      <c r="P31" s="12">
        <f t="shared" si="7"/>
        <v>188141.25560538116</v>
      </c>
      <c r="Q31" s="15">
        <f t="shared" si="8"/>
        <v>4.3191289165606328</v>
      </c>
      <c r="R31" s="15">
        <f t="shared" si="9"/>
        <v>6.2500257363689888</v>
      </c>
      <c r="S31" s="10" t="s">
        <v>24</v>
      </c>
    </row>
    <row r="32" spans="1:19" x14ac:dyDescent="0.25">
      <c r="A32" s="10" t="s">
        <v>519</v>
      </c>
      <c r="B32" s="10" t="s">
        <v>520</v>
      </c>
      <c r="C32" s="10" t="s">
        <v>483</v>
      </c>
      <c r="D32" s="11">
        <v>45418</v>
      </c>
      <c r="E32" s="12">
        <v>308000</v>
      </c>
      <c r="F32" s="10" t="s">
        <v>29</v>
      </c>
      <c r="G32" s="10" t="s">
        <v>23</v>
      </c>
      <c r="H32" s="12">
        <v>308000</v>
      </c>
      <c r="I32" s="12">
        <v>138020</v>
      </c>
      <c r="J32" s="13">
        <f t="shared" si="5"/>
        <v>44.811688311688314</v>
      </c>
      <c r="K32" s="12">
        <v>276049</v>
      </c>
      <c r="L32" s="12">
        <f>H32-202814</f>
        <v>105186</v>
      </c>
      <c r="M32" s="12">
        <v>73235</v>
      </c>
      <c r="N32" s="12">
        <f t="shared" si="6"/>
        <v>61600</v>
      </c>
      <c r="O32" s="14">
        <v>0.26900000000000002</v>
      </c>
      <c r="P32" s="12">
        <f t="shared" si="7"/>
        <v>391026.0223048327</v>
      </c>
      <c r="Q32" s="15">
        <f t="shared" si="8"/>
        <v>8.9767222751339002</v>
      </c>
      <c r="R32" s="15">
        <f t="shared" si="9"/>
        <v>6.2499786646457816</v>
      </c>
      <c r="S32" s="10" t="s">
        <v>24</v>
      </c>
    </row>
    <row r="33" spans="1:19" x14ac:dyDescent="0.25">
      <c r="A33" s="10" t="s">
        <v>519</v>
      </c>
      <c r="B33" s="10" t="s">
        <v>520</v>
      </c>
      <c r="C33" s="10" t="s">
        <v>483</v>
      </c>
      <c r="D33" s="11">
        <v>45418</v>
      </c>
      <c r="E33" s="12">
        <v>308000</v>
      </c>
      <c r="F33" s="10" t="s">
        <v>22</v>
      </c>
      <c r="G33" s="10" t="s">
        <v>23</v>
      </c>
      <c r="H33" s="12">
        <v>308000</v>
      </c>
      <c r="I33" s="12">
        <v>138020</v>
      </c>
      <c r="J33" s="13">
        <f t="shared" si="5"/>
        <v>44.811688311688314</v>
      </c>
      <c r="K33" s="12">
        <v>276049</v>
      </c>
      <c r="L33" s="12">
        <f>H33-202814</f>
        <v>105186</v>
      </c>
      <c r="M33" s="12">
        <v>73235</v>
      </c>
      <c r="N33" s="12">
        <f t="shared" si="6"/>
        <v>61600</v>
      </c>
      <c r="O33" s="14">
        <v>0.26900000000000002</v>
      </c>
      <c r="P33" s="12">
        <f t="shared" si="7"/>
        <v>391026.0223048327</v>
      </c>
      <c r="Q33" s="15">
        <f t="shared" si="8"/>
        <v>8.9767222751339002</v>
      </c>
      <c r="R33" s="15">
        <f t="shared" si="9"/>
        <v>6.2499786646457816</v>
      </c>
      <c r="S33" s="10" t="s">
        <v>24</v>
      </c>
    </row>
    <row r="34" spans="1:19" x14ac:dyDescent="0.25">
      <c r="A34" s="10" t="s">
        <v>521</v>
      </c>
      <c r="B34" s="10" t="s">
        <v>522</v>
      </c>
      <c r="C34" s="10" t="s">
        <v>483</v>
      </c>
      <c r="D34" s="11">
        <v>45159</v>
      </c>
      <c r="E34" s="12">
        <v>310000</v>
      </c>
      <c r="F34" s="10" t="s">
        <v>29</v>
      </c>
      <c r="G34" s="10" t="s">
        <v>23</v>
      </c>
      <c r="H34" s="12">
        <v>310000</v>
      </c>
      <c r="I34" s="12">
        <v>123330</v>
      </c>
      <c r="J34" s="13">
        <f t="shared" si="5"/>
        <v>39.783870967741933</v>
      </c>
      <c r="K34" s="12">
        <v>246669</v>
      </c>
      <c r="L34" s="12">
        <f>H34-166818</f>
        <v>143182</v>
      </c>
      <c r="M34" s="12">
        <v>79851</v>
      </c>
      <c r="N34" s="12">
        <f t="shared" si="6"/>
        <v>62000</v>
      </c>
      <c r="O34" s="14">
        <v>0.41899999999999998</v>
      </c>
      <c r="P34" s="12">
        <f t="shared" si="7"/>
        <v>341723.15035799524</v>
      </c>
      <c r="Q34" s="15">
        <f t="shared" si="8"/>
        <v>7.8448840761706897</v>
      </c>
      <c r="R34" s="15">
        <f t="shared" si="9"/>
        <v>4.3750041092197742</v>
      </c>
      <c r="S34" s="10" t="s">
        <v>24</v>
      </c>
    </row>
    <row r="35" spans="1:19" x14ac:dyDescent="0.25">
      <c r="A35" s="10" t="s">
        <v>523</v>
      </c>
      <c r="B35" s="10" t="s">
        <v>524</v>
      </c>
      <c r="C35" s="10" t="s">
        <v>483</v>
      </c>
      <c r="D35" s="11">
        <v>45177</v>
      </c>
      <c r="E35" s="12">
        <v>210000</v>
      </c>
      <c r="F35" s="10" t="s">
        <v>22</v>
      </c>
      <c r="G35" s="10" t="s">
        <v>23</v>
      </c>
      <c r="H35" s="12">
        <v>210000</v>
      </c>
      <c r="I35" s="12">
        <v>77040</v>
      </c>
      <c r="J35" s="13">
        <f t="shared" si="5"/>
        <v>36.68571428571429</v>
      </c>
      <c r="K35" s="12">
        <v>154076</v>
      </c>
      <c r="L35" s="12">
        <f>H35-121134</f>
        <v>88866</v>
      </c>
      <c r="M35" s="12">
        <v>32942</v>
      </c>
      <c r="N35" s="12">
        <f t="shared" si="6"/>
        <v>42000</v>
      </c>
      <c r="O35" s="14">
        <v>0.121</v>
      </c>
      <c r="P35" s="12">
        <f t="shared" si="7"/>
        <v>734429.75206611573</v>
      </c>
      <c r="Q35" s="15">
        <f t="shared" si="8"/>
        <v>16.860187145686769</v>
      </c>
      <c r="R35" s="15">
        <f t="shared" si="9"/>
        <v>6.2499525685100448</v>
      </c>
      <c r="S35" s="10" t="s">
        <v>24</v>
      </c>
    </row>
    <row r="36" spans="1:19" x14ac:dyDescent="0.25">
      <c r="A36" s="10" t="s">
        <v>525</v>
      </c>
      <c r="B36" s="10" t="s">
        <v>526</v>
      </c>
      <c r="C36" s="10" t="s">
        <v>483</v>
      </c>
      <c r="D36" s="11">
        <v>45583</v>
      </c>
      <c r="E36" s="12">
        <v>255000</v>
      </c>
      <c r="F36" s="10" t="s">
        <v>29</v>
      </c>
      <c r="G36" s="10" t="s">
        <v>23</v>
      </c>
      <c r="H36" s="12">
        <v>255000</v>
      </c>
      <c r="I36" s="12">
        <v>92780</v>
      </c>
      <c r="J36" s="13">
        <f t="shared" si="5"/>
        <v>36.384313725490195</v>
      </c>
      <c r="K36" s="12">
        <v>185550</v>
      </c>
      <c r="L36" s="12">
        <f>H36-152608</f>
        <v>102392</v>
      </c>
      <c r="M36" s="12">
        <v>32942</v>
      </c>
      <c r="N36" s="12">
        <f t="shared" si="6"/>
        <v>51000</v>
      </c>
      <c r="O36" s="14">
        <v>0.121</v>
      </c>
      <c r="P36" s="12">
        <f t="shared" si="7"/>
        <v>846214.87603305792</v>
      </c>
      <c r="Q36" s="15">
        <f t="shared" si="8"/>
        <v>19.4264204782612</v>
      </c>
      <c r="R36" s="15">
        <f t="shared" si="9"/>
        <v>6.2499525685100448</v>
      </c>
      <c r="S36" s="10" t="s">
        <v>24</v>
      </c>
    </row>
    <row r="37" spans="1:19" x14ac:dyDescent="0.25">
      <c r="A37" s="10" t="s">
        <v>527</v>
      </c>
      <c r="B37" s="10" t="s">
        <v>528</v>
      </c>
      <c r="C37" s="10" t="s">
        <v>483</v>
      </c>
      <c r="D37" s="11">
        <v>45063</v>
      </c>
      <c r="E37" s="12">
        <v>300000</v>
      </c>
      <c r="F37" s="10" t="s">
        <v>22</v>
      </c>
      <c r="G37" s="10" t="s">
        <v>23</v>
      </c>
      <c r="H37" s="12">
        <v>300000</v>
      </c>
      <c r="I37" s="12">
        <v>172790</v>
      </c>
      <c r="J37" s="13">
        <f t="shared" si="5"/>
        <v>57.596666666666664</v>
      </c>
      <c r="K37" s="12">
        <v>345573</v>
      </c>
      <c r="L37" s="12">
        <f>H37-291395</f>
        <v>8605</v>
      </c>
      <c r="M37" s="12">
        <v>54178</v>
      </c>
      <c r="N37" s="12">
        <f t="shared" si="6"/>
        <v>60000</v>
      </c>
      <c r="O37" s="14">
        <v>0.19900000000000001</v>
      </c>
      <c r="P37" s="12">
        <f t="shared" si="7"/>
        <v>43241.206030150752</v>
      </c>
      <c r="Q37" s="15">
        <f t="shared" si="8"/>
        <v>0.99268149747820822</v>
      </c>
      <c r="R37" s="15">
        <f t="shared" si="9"/>
        <v>6.2500288402526865</v>
      </c>
      <c r="S37" s="10" t="s">
        <v>24</v>
      </c>
    </row>
    <row r="38" spans="1:19" ht="15.75" thickBot="1" x14ac:dyDescent="0.3">
      <c r="A38" s="16"/>
      <c r="B38" s="16"/>
      <c r="C38" s="16"/>
      <c r="D38" s="17"/>
      <c r="E38" s="18"/>
      <c r="F38" s="16"/>
      <c r="G38" s="16"/>
      <c r="H38" s="18"/>
      <c r="I38" s="18"/>
      <c r="J38" s="19"/>
      <c r="K38" s="18"/>
      <c r="L38" s="18">
        <f>AVERAGE(L12:L37)</f>
        <v>95388.730769230766</v>
      </c>
      <c r="M38" s="18">
        <f>AVERAGE(M12:M37)</f>
        <v>85620.5</v>
      </c>
      <c r="N38" s="18">
        <f>AVERAGE(N12:N37)</f>
        <v>61061.923076923078</v>
      </c>
      <c r="O38" s="20"/>
      <c r="P38" s="18"/>
      <c r="Q38" s="21">
        <f>AVERAGE(Q12:Q37)</f>
        <v>7.2684464514628138</v>
      </c>
      <c r="R38" s="21">
        <f>AVERAGE(R12:R37)</f>
        <v>6.0305152379669504</v>
      </c>
      <c r="S38" s="16"/>
    </row>
    <row r="39" spans="1:19" ht="15.75" thickTop="1" x14ac:dyDescent="0.25">
      <c r="A39" s="10"/>
      <c r="B39" s="10"/>
      <c r="C39" s="10"/>
      <c r="D39" s="11"/>
      <c r="E39" s="12"/>
      <c r="F39" s="10"/>
      <c r="G39" s="10"/>
      <c r="H39" s="12"/>
      <c r="I39" s="12"/>
      <c r="J39" s="13"/>
      <c r="K39" s="12"/>
      <c r="L39" s="12"/>
      <c r="M39" s="12"/>
      <c r="N39" s="12"/>
      <c r="O39" s="14"/>
      <c r="P39" s="12"/>
      <c r="Q39" s="15"/>
      <c r="R39" s="15"/>
      <c r="S39" s="10"/>
    </row>
    <row r="40" spans="1:19" x14ac:dyDescent="0.25">
      <c r="A40" s="10"/>
      <c r="B40" s="10"/>
      <c r="C40" s="10"/>
      <c r="D40" s="11"/>
      <c r="E40" s="12"/>
      <c r="F40" s="10"/>
      <c r="G40" s="10"/>
      <c r="H40" s="12"/>
      <c r="I40" s="12"/>
      <c r="J40" s="13"/>
      <c r="K40" s="12"/>
      <c r="L40" s="12"/>
      <c r="M40" s="12"/>
      <c r="N40" s="12"/>
      <c r="O40" s="14"/>
      <c r="P40" s="12"/>
      <c r="Q40" s="15"/>
      <c r="R40" s="15"/>
      <c r="S40" s="10"/>
    </row>
    <row r="41" spans="1:19" x14ac:dyDescent="0.25">
      <c r="A41" s="10" t="s">
        <v>529</v>
      </c>
      <c r="B41" s="10" t="s">
        <v>530</v>
      </c>
      <c r="C41" s="10" t="s">
        <v>531</v>
      </c>
      <c r="D41" s="11">
        <v>45568</v>
      </c>
      <c r="E41" s="12">
        <v>200000</v>
      </c>
      <c r="F41" s="10" t="s">
        <v>22</v>
      </c>
      <c r="G41" s="10" t="s">
        <v>23</v>
      </c>
      <c r="H41" s="12">
        <v>200000</v>
      </c>
      <c r="I41" s="12">
        <v>81150</v>
      </c>
      <c r="J41" s="13">
        <f t="shared" ref="J41:J49" si="10">I41/H41*100</f>
        <v>40.575000000000003</v>
      </c>
      <c r="K41" s="12">
        <v>162296</v>
      </c>
      <c r="L41" s="12">
        <f>H41-117296</f>
        <v>82704</v>
      </c>
      <c r="M41" s="12">
        <v>45000</v>
      </c>
      <c r="N41" s="12">
        <f t="shared" ref="N41:N49" si="11">E41*0.2</f>
        <v>40000</v>
      </c>
      <c r="O41" s="14">
        <v>1</v>
      </c>
      <c r="P41" s="12">
        <f t="shared" ref="P41:P49" si="12">L41/O41</f>
        <v>82704</v>
      </c>
      <c r="Q41" s="15">
        <f t="shared" ref="Q41:Q49" si="13">L41/O41/43560</f>
        <v>1.8986225895316804</v>
      </c>
      <c r="R41" s="15">
        <f t="shared" ref="R41:R49" si="14">M41/O41/43560</f>
        <v>1.0330578512396693</v>
      </c>
      <c r="S41" s="10" t="s">
        <v>97</v>
      </c>
    </row>
    <row r="42" spans="1:19" x14ac:dyDescent="0.25">
      <c r="A42" s="10" t="s">
        <v>532</v>
      </c>
      <c r="B42" s="10" t="s">
        <v>533</v>
      </c>
      <c r="C42" s="10" t="s">
        <v>531</v>
      </c>
      <c r="D42" s="11">
        <v>45169</v>
      </c>
      <c r="E42" s="12">
        <v>178000</v>
      </c>
      <c r="F42" s="10" t="s">
        <v>22</v>
      </c>
      <c r="G42" s="10" t="s">
        <v>23</v>
      </c>
      <c r="H42" s="12">
        <v>178000</v>
      </c>
      <c r="I42" s="12">
        <v>78020</v>
      </c>
      <c r="J42" s="13">
        <f t="shared" si="10"/>
        <v>43.831460674157299</v>
      </c>
      <c r="K42" s="12">
        <v>156041</v>
      </c>
      <c r="L42" s="12">
        <f>H42-111041</f>
        <v>66959</v>
      </c>
      <c r="M42" s="12">
        <v>45000</v>
      </c>
      <c r="N42" s="12">
        <f t="shared" si="11"/>
        <v>35600</v>
      </c>
      <c r="O42" s="14">
        <v>1</v>
      </c>
      <c r="P42" s="12">
        <f t="shared" si="12"/>
        <v>66959</v>
      </c>
      <c r="Q42" s="15">
        <f t="shared" si="13"/>
        <v>1.5371671258034894</v>
      </c>
      <c r="R42" s="15">
        <f t="shared" si="14"/>
        <v>1.0330578512396693</v>
      </c>
      <c r="S42" s="10" t="s">
        <v>97</v>
      </c>
    </row>
    <row r="43" spans="1:19" x14ac:dyDescent="0.25">
      <c r="A43" s="10" t="s">
        <v>534</v>
      </c>
      <c r="B43" s="10" t="s">
        <v>535</v>
      </c>
      <c r="C43" s="10" t="s">
        <v>531</v>
      </c>
      <c r="D43" s="11">
        <v>45450</v>
      </c>
      <c r="E43" s="12">
        <v>181000</v>
      </c>
      <c r="F43" s="10" t="s">
        <v>22</v>
      </c>
      <c r="G43" s="10" t="s">
        <v>23</v>
      </c>
      <c r="H43" s="12">
        <v>181000</v>
      </c>
      <c r="I43" s="12">
        <v>77040</v>
      </c>
      <c r="J43" s="13">
        <f t="shared" si="10"/>
        <v>42.563535911602209</v>
      </c>
      <c r="K43" s="12">
        <v>154074</v>
      </c>
      <c r="L43" s="12">
        <f>H43-109074</f>
        <v>71926</v>
      </c>
      <c r="M43" s="12">
        <v>45000</v>
      </c>
      <c r="N43" s="12">
        <f t="shared" si="11"/>
        <v>36200</v>
      </c>
      <c r="O43" s="14">
        <v>1</v>
      </c>
      <c r="P43" s="12">
        <f t="shared" si="12"/>
        <v>71926</v>
      </c>
      <c r="Q43" s="15">
        <f t="shared" si="13"/>
        <v>1.6511937557392102</v>
      </c>
      <c r="R43" s="15">
        <f t="shared" si="14"/>
        <v>1.0330578512396693</v>
      </c>
      <c r="S43" s="10" t="s">
        <v>97</v>
      </c>
    </row>
    <row r="44" spans="1:19" x14ac:dyDescent="0.25">
      <c r="A44" s="10" t="s">
        <v>536</v>
      </c>
      <c r="B44" s="10" t="s">
        <v>537</v>
      </c>
      <c r="C44" s="10" t="s">
        <v>531</v>
      </c>
      <c r="D44" s="11">
        <v>45278</v>
      </c>
      <c r="E44" s="12">
        <v>189000</v>
      </c>
      <c r="F44" s="10" t="s">
        <v>22</v>
      </c>
      <c r="G44" s="10" t="s">
        <v>23</v>
      </c>
      <c r="H44" s="12">
        <v>189000</v>
      </c>
      <c r="I44" s="12">
        <v>77350</v>
      </c>
      <c r="J44" s="13">
        <f t="shared" si="10"/>
        <v>40.925925925925924</v>
      </c>
      <c r="K44" s="12">
        <v>154701</v>
      </c>
      <c r="L44" s="12">
        <f>H44-109701</f>
        <v>79299</v>
      </c>
      <c r="M44" s="12">
        <v>45000</v>
      </c>
      <c r="N44" s="12">
        <f t="shared" si="11"/>
        <v>37800</v>
      </c>
      <c r="O44" s="14">
        <v>1</v>
      </c>
      <c r="P44" s="12">
        <f t="shared" si="12"/>
        <v>79299</v>
      </c>
      <c r="Q44" s="15">
        <f t="shared" si="13"/>
        <v>1.8204545454545455</v>
      </c>
      <c r="R44" s="15">
        <f t="shared" si="14"/>
        <v>1.0330578512396693</v>
      </c>
      <c r="S44" s="10" t="s">
        <v>97</v>
      </c>
    </row>
    <row r="45" spans="1:19" x14ac:dyDescent="0.25">
      <c r="A45" s="10" t="s">
        <v>538</v>
      </c>
      <c r="B45" s="10" t="s">
        <v>539</v>
      </c>
      <c r="C45" s="10" t="s">
        <v>531</v>
      </c>
      <c r="D45" s="11">
        <v>45152</v>
      </c>
      <c r="E45" s="12">
        <v>170000</v>
      </c>
      <c r="F45" s="10" t="s">
        <v>29</v>
      </c>
      <c r="G45" s="10" t="s">
        <v>23</v>
      </c>
      <c r="H45" s="12">
        <v>170000</v>
      </c>
      <c r="I45" s="12">
        <v>76120</v>
      </c>
      <c r="J45" s="13">
        <f t="shared" si="10"/>
        <v>44.776470588235298</v>
      </c>
      <c r="K45" s="12">
        <v>152230</v>
      </c>
      <c r="L45" s="12">
        <f>H45-107230</f>
        <v>62770</v>
      </c>
      <c r="M45" s="12">
        <v>45000</v>
      </c>
      <c r="N45" s="12">
        <f t="shared" si="11"/>
        <v>34000</v>
      </c>
      <c r="O45" s="14">
        <v>1</v>
      </c>
      <c r="P45" s="12">
        <f t="shared" si="12"/>
        <v>62770</v>
      </c>
      <c r="Q45" s="15">
        <f t="shared" si="13"/>
        <v>1.4410009182736456</v>
      </c>
      <c r="R45" s="15">
        <f t="shared" si="14"/>
        <v>1.0330578512396693</v>
      </c>
      <c r="S45" s="10" t="s">
        <v>97</v>
      </c>
    </row>
    <row r="46" spans="1:19" x14ac:dyDescent="0.25">
      <c r="A46" s="10" t="s">
        <v>540</v>
      </c>
      <c r="B46" s="10" t="s">
        <v>541</v>
      </c>
      <c r="C46" s="10" t="s">
        <v>531</v>
      </c>
      <c r="D46" s="11">
        <v>45163</v>
      </c>
      <c r="E46" s="12">
        <v>173500</v>
      </c>
      <c r="F46" s="10" t="s">
        <v>22</v>
      </c>
      <c r="G46" s="10" t="s">
        <v>23</v>
      </c>
      <c r="H46" s="12">
        <v>173500</v>
      </c>
      <c r="I46" s="12">
        <v>76120</v>
      </c>
      <c r="J46" s="13">
        <f t="shared" si="10"/>
        <v>43.873198847262245</v>
      </c>
      <c r="K46" s="12">
        <v>152230</v>
      </c>
      <c r="L46" s="12">
        <f>H46-107230</f>
        <v>66270</v>
      </c>
      <c r="M46" s="12">
        <v>45000</v>
      </c>
      <c r="N46" s="12">
        <f t="shared" si="11"/>
        <v>34700</v>
      </c>
      <c r="O46" s="14">
        <v>1</v>
      </c>
      <c r="P46" s="12">
        <f t="shared" si="12"/>
        <v>66270</v>
      </c>
      <c r="Q46" s="15">
        <f t="shared" si="13"/>
        <v>1.5213498622589532</v>
      </c>
      <c r="R46" s="15">
        <f t="shared" si="14"/>
        <v>1.0330578512396693</v>
      </c>
      <c r="S46" s="10" t="s">
        <v>97</v>
      </c>
    </row>
    <row r="47" spans="1:19" x14ac:dyDescent="0.25">
      <c r="A47" s="10" t="s">
        <v>542</v>
      </c>
      <c r="B47" s="10" t="s">
        <v>543</v>
      </c>
      <c r="C47" s="10" t="s">
        <v>531</v>
      </c>
      <c r="D47" s="11">
        <v>45071</v>
      </c>
      <c r="E47" s="12">
        <v>185000</v>
      </c>
      <c r="F47" s="10" t="s">
        <v>22</v>
      </c>
      <c r="G47" s="10" t="s">
        <v>23</v>
      </c>
      <c r="H47" s="12">
        <v>185000</v>
      </c>
      <c r="I47" s="12">
        <v>75620</v>
      </c>
      <c r="J47" s="13">
        <f t="shared" si="10"/>
        <v>40.87567567567568</v>
      </c>
      <c r="K47" s="12">
        <v>151249</v>
      </c>
      <c r="L47" s="12">
        <f>H47-106249</f>
        <v>78751</v>
      </c>
      <c r="M47" s="12">
        <v>45000</v>
      </c>
      <c r="N47" s="12">
        <f t="shared" si="11"/>
        <v>37000</v>
      </c>
      <c r="O47" s="14">
        <v>1</v>
      </c>
      <c r="P47" s="12">
        <f t="shared" si="12"/>
        <v>78751</v>
      </c>
      <c r="Q47" s="15">
        <f t="shared" si="13"/>
        <v>1.8078741965105602</v>
      </c>
      <c r="R47" s="15">
        <f t="shared" si="14"/>
        <v>1.0330578512396693</v>
      </c>
      <c r="S47" s="10" t="s">
        <v>97</v>
      </c>
    </row>
    <row r="48" spans="1:19" x14ac:dyDescent="0.25">
      <c r="A48" s="10" t="s">
        <v>544</v>
      </c>
      <c r="B48" s="10" t="s">
        <v>545</v>
      </c>
      <c r="C48" s="10" t="s">
        <v>531</v>
      </c>
      <c r="D48" s="11">
        <v>45267</v>
      </c>
      <c r="E48" s="12">
        <v>160000</v>
      </c>
      <c r="F48" s="10" t="s">
        <v>22</v>
      </c>
      <c r="G48" s="10" t="s">
        <v>23</v>
      </c>
      <c r="H48" s="12">
        <v>160000</v>
      </c>
      <c r="I48" s="12">
        <v>76120</v>
      </c>
      <c r="J48" s="13">
        <f t="shared" si="10"/>
        <v>47.575000000000003</v>
      </c>
      <c r="K48" s="12">
        <v>152230</v>
      </c>
      <c r="L48" s="12">
        <f>H48-107230</f>
        <v>52770</v>
      </c>
      <c r="M48" s="12">
        <v>45000</v>
      </c>
      <c r="N48" s="12">
        <f t="shared" si="11"/>
        <v>32000</v>
      </c>
      <c r="O48" s="14">
        <v>1</v>
      </c>
      <c r="P48" s="12">
        <f t="shared" si="12"/>
        <v>52770</v>
      </c>
      <c r="Q48" s="15">
        <f t="shared" si="13"/>
        <v>1.2114325068870524</v>
      </c>
      <c r="R48" s="15">
        <f t="shared" si="14"/>
        <v>1.0330578512396693</v>
      </c>
      <c r="S48" s="10" t="s">
        <v>97</v>
      </c>
    </row>
    <row r="49" spans="1:19" x14ac:dyDescent="0.25">
      <c r="A49" s="10" t="s">
        <v>546</v>
      </c>
      <c r="B49" s="10" t="s">
        <v>547</v>
      </c>
      <c r="C49" s="10" t="s">
        <v>531</v>
      </c>
      <c r="D49" s="11">
        <v>45128</v>
      </c>
      <c r="E49" s="12">
        <v>180000</v>
      </c>
      <c r="F49" s="10" t="s">
        <v>22</v>
      </c>
      <c r="G49" s="10" t="s">
        <v>23</v>
      </c>
      <c r="H49" s="12">
        <v>180000</v>
      </c>
      <c r="I49" s="12">
        <v>77490</v>
      </c>
      <c r="J49" s="13">
        <f t="shared" si="10"/>
        <v>43.05</v>
      </c>
      <c r="K49" s="12">
        <v>154985</v>
      </c>
      <c r="L49" s="12">
        <f>H49-109985</f>
        <v>70015</v>
      </c>
      <c r="M49" s="12">
        <v>45000</v>
      </c>
      <c r="N49" s="12">
        <f t="shared" si="11"/>
        <v>36000</v>
      </c>
      <c r="O49" s="14">
        <v>1</v>
      </c>
      <c r="P49" s="12">
        <f t="shared" si="12"/>
        <v>70015</v>
      </c>
      <c r="Q49" s="15">
        <f t="shared" si="13"/>
        <v>1.6073232323232323</v>
      </c>
      <c r="R49" s="15">
        <f t="shared" si="14"/>
        <v>1.0330578512396693</v>
      </c>
      <c r="S49" s="10" t="s">
        <v>97</v>
      </c>
    </row>
    <row r="50" spans="1:19" ht="15.75" thickBot="1" x14ac:dyDescent="0.3">
      <c r="A50" s="16"/>
      <c r="B50" s="16"/>
      <c r="C50" s="16"/>
      <c r="D50" s="17"/>
      <c r="E50" s="18"/>
      <c r="F50" s="16"/>
      <c r="G50" s="16"/>
      <c r="H50" s="18"/>
      <c r="I50" s="18"/>
      <c r="J50" s="19"/>
      <c r="K50" s="18"/>
      <c r="L50" s="18">
        <f>AVERAGE(L41:L49)</f>
        <v>70162.666666666672</v>
      </c>
      <c r="M50" s="18">
        <f>AVERAGE(M41:M49)</f>
        <v>45000</v>
      </c>
      <c r="N50" s="18">
        <f>AVERAGE(N41:N49)</f>
        <v>35922.222222222219</v>
      </c>
      <c r="O50" s="20"/>
      <c r="P50" s="18"/>
      <c r="Q50" s="21">
        <f>AVERAGE(Q41:Q49)</f>
        <v>1.6107131925313742</v>
      </c>
      <c r="R50" s="21">
        <f>AVERAGE(R41:R49)</f>
        <v>1.0330578512396693</v>
      </c>
      <c r="S50" s="16"/>
    </row>
    <row r="51" spans="1:19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0B8BA-978B-4B74-BB35-2AB231B15784}">
  <dimension ref="A1:S31"/>
  <sheetViews>
    <sheetView workbookViewId="0">
      <selection activeCell="K36" sqref="K36"/>
    </sheetView>
  </sheetViews>
  <sheetFormatPr defaultRowHeight="15" x14ac:dyDescent="0.25"/>
  <cols>
    <col min="1" max="1" width="12.42578125" bestFit="1" customWidth="1"/>
    <col min="2" max="2" width="14.28515625" bestFit="1" customWidth="1"/>
    <col min="3" max="3" width="12.5703125" bestFit="1" customWidth="1"/>
    <col min="7" max="7" width="13.14062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180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548</v>
      </c>
      <c r="B2" s="10" t="s">
        <v>549</v>
      </c>
      <c r="C2" s="10" t="s">
        <v>550</v>
      </c>
      <c r="D2" s="11">
        <v>45488</v>
      </c>
      <c r="E2" s="12">
        <v>430000</v>
      </c>
      <c r="F2" s="10" t="s">
        <v>29</v>
      </c>
      <c r="G2" s="10" t="s">
        <v>23</v>
      </c>
      <c r="H2" s="12">
        <v>430000</v>
      </c>
      <c r="I2" s="12">
        <v>235310</v>
      </c>
      <c r="J2" s="13">
        <f t="shared" ref="J2:J19" si="0">I2/H2*100</f>
        <v>54.723255813953486</v>
      </c>
      <c r="K2" s="12">
        <v>470612</v>
      </c>
      <c r="L2" s="12">
        <f>H2-389186</f>
        <v>40814</v>
      </c>
      <c r="M2" s="12">
        <v>81426</v>
      </c>
      <c r="N2" s="12">
        <f t="shared" ref="N2:N19" si="1">E2*0.2</f>
        <v>86000</v>
      </c>
      <c r="O2" s="14">
        <v>0.64200000000000002</v>
      </c>
      <c r="P2" s="12">
        <f t="shared" ref="P2:P19" si="2">L2/O2</f>
        <v>63573.20872274143</v>
      </c>
      <c r="Q2" s="15">
        <f t="shared" ref="Q2:Q19" si="3">L2/O2/43560</f>
        <v>1.459440053322806</v>
      </c>
      <c r="R2" s="15">
        <f t="shared" ref="R2:R19" si="4">M2/O2/43560</f>
        <v>2.9116569261004264</v>
      </c>
      <c r="S2" s="10" t="s">
        <v>24</v>
      </c>
    </row>
    <row r="3" spans="1:19" x14ac:dyDescent="0.25">
      <c r="A3" s="10" t="s">
        <v>551</v>
      </c>
      <c r="B3" s="10" t="s">
        <v>552</v>
      </c>
      <c r="C3" s="10" t="s">
        <v>550</v>
      </c>
      <c r="D3" s="11">
        <v>45359</v>
      </c>
      <c r="E3" s="12">
        <v>450000</v>
      </c>
      <c r="F3" s="10" t="s">
        <v>29</v>
      </c>
      <c r="G3" s="10" t="s">
        <v>23</v>
      </c>
      <c r="H3" s="12">
        <v>450000</v>
      </c>
      <c r="I3" s="12">
        <v>139220</v>
      </c>
      <c r="J3" s="13">
        <f t="shared" si="0"/>
        <v>30.937777777777775</v>
      </c>
      <c r="K3" s="12">
        <v>278436</v>
      </c>
      <c r="L3" s="12">
        <f>H3-191470</f>
        <v>258530</v>
      </c>
      <c r="M3" s="12">
        <v>86966</v>
      </c>
      <c r="N3" s="12">
        <f t="shared" si="1"/>
        <v>90000</v>
      </c>
      <c r="O3" s="14">
        <v>0.93600000000000005</v>
      </c>
      <c r="P3" s="12">
        <f t="shared" si="2"/>
        <v>276207.26495726494</v>
      </c>
      <c r="Q3" s="15">
        <f t="shared" si="3"/>
        <v>6.3408463029675151</v>
      </c>
      <c r="R3" s="15">
        <f t="shared" si="4"/>
        <v>2.1329750496417161</v>
      </c>
      <c r="S3" s="10" t="s">
        <v>24</v>
      </c>
    </row>
    <row r="4" spans="1:19" x14ac:dyDescent="0.25">
      <c r="A4" s="10" t="s">
        <v>553</v>
      </c>
      <c r="B4" s="10" t="s">
        <v>554</v>
      </c>
      <c r="C4" s="10" t="s">
        <v>550</v>
      </c>
      <c r="D4" s="11">
        <v>45408</v>
      </c>
      <c r="E4" s="12">
        <v>420000</v>
      </c>
      <c r="F4" s="10" t="s">
        <v>22</v>
      </c>
      <c r="G4" s="10" t="s">
        <v>23</v>
      </c>
      <c r="H4" s="12">
        <v>420000</v>
      </c>
      <c r="I4" s="12">
        <v>163600</v>
      </c>
      <c r="J4" s="13">
        <f t="shared" si="0"/>
        <v>38.952380952380956</v>
      </c>
      <c r="K4" s="12">
        <v>327198</v>
      </c>
      <c r="L4" s="12">
        <f>H4-245185</f>
        <v>174815</v>
      </c>
      <c r="M4" s="12">
        <v>82013</v>
      </c>
      <c r="N4" s="12">
        <f t="shared" si="1"/>
        <v>84000</v>
      </c>
      <c r="O4" s="14">
        <v>0.443</v>
      </c>
      <c r="P4" s="12">
        <f t="shared" si="2"/>
        <v>394616.25282167044</v>
      </c>
      <c r="Q4" s="15">
        <f t="shared" si="3"/>
        <v>9.0591426267601118</v>
      </c>
      <c r="R4" s="15">
        <f t="shared" si="4"/>
        <v>4.2500212467378482</v>
      </c>
      <c r="S4" s="10" t="s">
        <v>24</v>
      </c>
    </row>
    <row r="5" spans="1:19" x14ac:dyDescent="0.25">
      <c r="A5" s="10" t="s">
        <v>555</v>
      </c>
      <c r="B5" s="10" t="s">
        <v>556</v>
      </c>
      <c r="C5" s="10" t="s">
        <v>550</v>
      </c>
      <c r="D5" s="11">
        <v>45545</v>
      </c>
      <c r="E5" s="12">
        <v>432500</v>
      </c>
      <c r="F5" s="10" t="s">
        <v>29</v>
      </c>
      <c r="G5" s="10" t="s">
        <v>23</v>
      </c>
      <c r="H5" s="12">
        <v>432500</v>
      </c>
      <c r="I5" s="12">
        <v>183920</v>
      </c>
      <c r="J5" s="13">
        <f t="shared" si="0"/>
        <v>42.524855491329475</v>
      </c>
      <c r="K5" s="12">
        <v>367833</v>
      </c>
      <c r="L5" s="12">
        <f>H5-274335</f>
        <v>158165</v>
      </c>
      <c r="M5" s="12">
        <v>93498</v>
      </c>
      <c r="N5" s="12">
        <f t="shared" si="1"/>
        <v>86500</v>
      </c>
      <c r="O5" s="14">
        <v>0.52100000000000002</v>
      </c>
      <c r="P5" s="12">
        <f t="shared" si="2"/>
        <v>303579.6545105566</v>
      </c>
      <c r="Q5" s="15">
        <f t="shared" si="3"/>
        <v>6.9692299015279291</v>
      </c>
      <c r="R5" s="15">
        <f t="shared" si="4"/>
        <v>4.1198056291408234</v>
      </c>
      <c r="S5" s="10" t="s">
        <v>24</v>
      </c>
    </row>
    <row r="6" spans="1:19" x14ac:dyDescent="0.25">
      <c r="A6" s="10" t="s">
        <v>557</v>
      </c>
      <c r="B6" s="10" t="s">
        <v>558</v>
      </c>
      <c r="C6" s="10" t="s">
        <v>550</v>
      </c>
      <c r="D6" s="11">
        <v>45440</v>
      </c>
      <c r="E6" s="12">
        <v>385000</v>
      </c>
      <c r="F6" s="10" t="s">
        <v>22</v>
      </c>
      <c r="G6" s="10" t="s">
        <v>23</v>
      </c>
      <c r="H6" s="12">
        <v>385000</v>
      </c>
      <c r="I6" s="12">
        <v>163310</v>
      </c>
      <c r="J6" s="13">
        <f t="shared" si="0"/>
        <v>42.418181818181814</v>
      </c>
      <c r="K6" s="12">
        <v>326625</v>
      </c>
      <c r="L6" s="12">
        <f>H6-226655</f>
        <v>158345</v>
      </c>
      <c r="M6" s="12">
        <v>99970</v>
      </c>
      <c r="N6" s="12">
        <f t="shared" si="1"/>
        <v>77000</v>
      </c>
      <c r="O6" s="14">
        <v>0.45900000000000002</v>
      </c>
      <c r="P6" s="12">
        <f t="shared" si="2"/>
        <v>344978.21350762527</v>
      </c>
      <c r="Q6" s="15">
        <f t="shared" si="3"/>
        <v>7.9196100437930506</v>
      </c>
      <c r="R6" s="15">
        <f t="shared" si="4"/>
        <v>4.999989997019112</v>
      </c>
      <c r="S6" s="10" t="s">
        <v>24</v>
      </c>
    </row>
    <row r="7" spans="1:19" x14ac:dyDescent="0.25">
      <c r="A7" s="10" t="s">
        <v>559</v>
      </c>
      <c r="B7" s="10" t="s">
        <v>560</v>
      </c>
      <c r="C7" s="10" t="s">
        <v>550</v>
      </c>
      <c r="D7" s="11">
        <v>45469</v>
      </c>
      <c r="E7" s="12">
        <v>365000</v>
      </c>
      <c r="F7" s="10" t="s">
        <v>29</v>
      </c>
      <c r="G7" s="10" t="s">
        <v>23</v>
      </c>
      <c r="H7" s="12">
        <v>365000</v>
      </c>
      <c r="I7" s="12">
        <v>188210</v>
      </c>
      <c r="J7" s="13">
        <f t="shared" si="0"/>
        <v>51.564383561643837</v>
      </c>
      <c r="K7" s="12">
        <v>376416</v>
      </c>
      <c r="L7" s="12">
        <f>H7-265530</f>
        <v>99470</v>
      </c>
      <c r="M7" s="12">
        <v>110886</v>
      </c>
      <c r="N7" s="12">
        <f t="shared" si="1"/>
        <v>73000</v>
      </c>
      <c r="O7" s="14">
        <v>0.53800000000000003</v>
      </c>
      <c r="P7" s="12">
        <f t="shared" si="2"/>
        <v>184888.47583643123</v>
      </c>
      <c r="Q7" s="15">
        <f t="shared" si="3"/>
        <v>4.2444553681458039</v>
      </c>
      <c r="R7" s="15">
        <f t="shared" si="4"/>
        <v>4.7315841756531176</v>
      </c>
      <c r="S7" s="10" t="s">
        <v>24</v>
      </c>
    </row>
    <row r="8" spans="1:19" x14ac:dyDescent="0.25">
      <c r="A8" s="10" t="s">
        <v>561</v>
      </c>
      <c r="B8" s="10" t="s">
        <v>562</v>
      </c>
      <c r="C8" s="10" t="s">
        <v>550</v>
      </c>
      <c r="D8" s="11">
        <v>45436</v>
      </c>
      <c r="E8" s="12">
        <v>302000</v>
      </c>
      <c r="F8" s="10" t="s">
        <v>22</v>
      </c>
      <c r="G8" s="10" t="s">
        <v>23</v>
      </c>
      <c r="H8" s="12">
        <v>302000</v>
      </c>
      <c r="I8" s="12">
        <v>165100</v>
      </c>
      <c r="J8" s="13">
        <f t="shared" si="0"/>
        <v>54.668874172185433</v>
      </c>
      <c r="K8" s="12">
        <v>330200</v>
      </c>
      <c r="L8" s="12">
        <f>H8-220725</f>
        <v>81275</v>
      </c>
      <c r="M8" s="12">
        <v>109475</v>
      </c>
      <c r="N8" s="12">
        <f t="shared" si="1"/>
        <v>60400</v>
      </c>
      <c r="O8" s="14">
        <v>0.51100000000000001</v>
      </c>
      <c r="P8" s="12">
        <f t="shared" si="2"/>
        <v>159050.88062622308</v>
      </c>
      <c r="Q8" s="15">
        <f t="shared" si="3"/>
        <v>3.6513057995000708</v>
      </c>
      <c r="R8" s="15">
        <f t="shared" si="4"/>
        <v>4.9181999680131678</v>
      </c>
      <c r="S8" s="10" t="s">
        <v>24</v>
      </c>
    </row>
    <row r="9" spans="1:19" x14ac:dyDescent="0.25">
      <c r="A9" s="10" t="s">
        <v>563</v>
      </c>
      <c r="B9" s="10" t="s">
        <v>564</v>
      </c>
      <c r="C9" s="10" t="s">
        <v>550</v>
      </c>
      <c r="D9" s="11">
        <v>45643</v>
      </c>
      <c r="E9" s="12">
        <v>393000</v>
      </c>
      <c r="F9" s="10" t="s">
        <v>22</v>
      </c>
      <c r="G9" s="10" t="s">
        <v>23</v>
      </c>
      <c r="H9" s="12">
        <v>393000</v>
      </c>
      <c r="I9" s="12">
        <v>186600</v>
      </c>
      <c r="J9" s="13">
        <f t="shared" si="0"/>
        <v>47.480916030534353</v>
      </c>
      <c r="K9" s="12">
        <v>373201</v>
      </c>
      <c r="L9" s="12">
        <f>H9-301697</f>
        <v>91303</v>
      </c>
      <c r="M9" s="12">
        <v>71504</v>
      </c>
      <c r="N9" s="12">
        <f t="shared" si="1"/>
        <v>78600</v>
      </c>
      <c r="O9" s="14">
        <v>0.46899999999999997</v>
      </c>
      <c r="P9" s="12">
        <f t="shared" si="2"/>
        <v>194675.90618336888</v>
      </c>
      <c r="Q9" s="15">
        <f t="shared" si="3"/>
        <v>4.4691438517761446</v>
      </c>
      <c r="R9" s="15">
        <f t="shared" si="4"/>
        <v>3.5000127266070278</v>
      </c>
      <c r="S9" s="10" t="s">
        <v>24</v>
      </c>
    </row>
    <row r="10" spans="1:19" x14ac:dyDescent="0.25">
      <c r="A10" s="10" t="s">
        <v>565</v>
      </c>
      <c r="B10" s="10" t="s">
        <v>566</v>
      </c>
      <c r="C10" s="10" t="s">
        <v>550</v>
      </c>
      <c r="D10" s="11">
        <v>45334</v>
      </c>
      <c r="E10" s="12">
        <v>750000</v>
      </c>
      <c r="F10" s="10" t="s">
        <v>29</v>
      </c>
      <c r="G10" s="10" t="s">
        <v>23</v>
      </c>
      <c r="H10" s="12">
        <v>750000</v>
      </c>
      <c r="I10" s="12">
        <v>395610</v>
      </c>
      <c r="J10" s="13">
        <f t="shared" si="0"/>
        <v>52.747999999999998</v>
      </c>
      <c r="K10" s="12">
        <v>791216</v>
      </c>
      <c r="L10" s="12">
        <f>H10-684058</f>
        <v>65942</v>
      </c>
      <c r="M10" s="12">
        <v>107158</v>
      </c>
      <c r="N10" s="12">
        <f t="shared" si="1"/>
        <v>150000</v>
      </c>
      <c r="O10" s="14">
        <v>0.49199999999999999</v>
      </c>
      <c r="P10" s="12">
        <f t="shared" si="2"/>
        <v>134028.45528455285</v>
      </c>
      <c r="Q10" s="15">
        <f t="shared" si="3"/>
        <v>3.0768699560273842</v>
      </c>
      <c r="R10" s="15">
        <f t="shared" si="4"/>
        <v>5.0000186640984872</v>
      </c>
      <c r="S10" s="10" t="s">
        <v>24</v>
      </c>
    </row>
    <row r="11" spans="1:19" x14ac:dyDescent="0.25">
      <c r="A11" s="10" t="s">
        <v>567</v>
      </c>
      <c r="B11" s="10" t="s">
        <v>568</v>
      </c>
      <c r="C11" s="10" t="s">
        <v>550</v>
      </c>
      <c r="D11" s="11">
        <v>45397</v>
      </c>
      <c r="E11" s="12">
        <v>800000</v>
      </c>
      <c r="F11" s="10" t="s">
        <v>29</v>
      </c>
      <c r="G11" s="10" t="s">
        <v>23</v>
      </c>
      <c r="H11" s="12">
        <v>800000</v>
      </c>
      <c r="I11" s="12">
        <v>401220</v>
      </c>
      <c r="J11" s="13">
        <f t="shared" si="0"/>
        <v>50.152500000000003</v>
      </c>
      <c r="K11" s="12">
        <v>802430</v>
      </c>
      <c r="L11" s="12">
        <f>H11-689191</f>
        <v>110809</v>
      </c>
      <c r="M11" s="12">
        <v>113239</v>
      </c>
      <c r="N11" s="12">
        <f t="shared" si="1"/>
        <v>160000</v>
      </c>
      <c r="O11" s="14">
        <v>0.58299999999999996</v>
      </c>
      <c r="P11" s="12">
        <f t="shared" si="2"/>
        <v>190066.89536878216</v>
      </c>
      <c r="Q11" s="15">
        <f t="shared" si="3"/>
        <v>4.3633355226993151</v>
      </c>
      <c r="R11" s="15">
        <f t="shared" si="4"/>
        <v>4.4590218416820635</v>
      </c>
      <c r="S11" s="10" t="s">
        <v>24</v>
      </c>
    </row>
    <row r="12" spans="1:19" x14ac:dyDescent="0.25">
      <c r="A12" s="10" t="s">
        <v>569</v>
      </c>
      <c r="B12" s="10" t="s">
        <v>570</v>
      </c>
      <c r="C12" s="10" t="s">
        <v>550</v>
      </c>
      <c r="D12" s="11">
        <v>45197</v>
      </c>
      <c r="E12" s="12">
        <v>799900</v>
      </c>
      <c r="F12" s="10" t="s">
        <v>22</v>
      </c>
      <c r="G12" s="10" t="s">
        <v>23</v>
      </c>
      <c r="H12" s="12">
        <v>799900</v>
      </c>
      <c r="I12" s="12">
        <v>387960</v>
      </c>
      <c r="J12" s="13">
        <f t="shared" si="0"/>
        <v>48.501062632829104</v>
      </c>
      <c r="K12" s="12">
        <v>775912</v>
      </c>
      <c r="L12" s="12">
        <f>H12-689177</f>
        <v>110723</v>
      </c>
      <c r="M12" s="12">
        <v>86735</v>
      </c>
      <c r="N12" s="12">
        <f t="shared" si="1"/>
        <v>159980</v>
      </c>
      <c r="O12" s="14">
        <v>0.90900000000000003</v>
      </c>
      <c r="P12" s="12">
        <f t="shared" si="2"/>
        <v>121807.4807480748</v>
      </c>
      <c r="Q12" s="15">
        <f t="shared" si="3"/>
        <v>2.7963149850338569</v>
      </c>
      <c r="R12" s="15">
        <f t="shared" si="4"/>
        <v>2.1904968274605237</v>
      </c>
      <c r="S12" s="10" t="s">
        <v>24</v>
      </c>
    </row>
    <row r="13" spans="1:19" x14ac:dyDescent="0.25">
      <c r="A13" s="10" t="s">
        <v>571</v>
      </c>
      <c r="B13" s="10" t="s">
        <v>572</v>
      </c>
      <c r="C13" s="10" t="s">
        <v>550</v>
      </c>
      <c r="D13" s="11">
        <v>45317</v>
      </c>
      <c r="E13" s="12">
        <v>315000</v>
      </c>
      <c r="F13" s="10" t="s">
        <v>22</v>
      </c>
      <c r="G13" s="10" t="s">
        <v>23</v>
      </c>
      <c r="H13" s="12">
        <v>315000</v>
      </c>
      <c r="I13" s="12">
        <v>160420</v>
      </c>
      <c r="J13" s="13">
        <f t="shared" si="0"/>
        <v>50.926984126984131</v>
      </c>
      <c r="K13" s="12">
        <v>320844</v>
      </c>
      <c r="L13" s="12">
        <f>H13-218260</f>
        <v>96740</v>
      </c>
      <c r="M13" s="12">
        <v>102584</v>
      </c>
      <c r="N13" s="12">
        <f t="shared" si="1"/>
        <v>63000</v>
      </c>
      <c r="O13" s="14">
        <v>0.47099999999999997</v>
      </c>
      <c r="P13" s="12">
        <f t="shared" si="2"/>
        <v>205392.78131634821</v>
      </c>
      <c r="Q13" s="15">
        <f t="shared" si="3"/>
        <v>4.7151694517068004</v>
      </c>
      <c r="R13" s="15">
        <f t="shared" si="4"/>
        <v>5.0000097481278729</v>
      </c>
      <c r="S13" s="10" t="s">
        <v>24</v>
      </c>
    </row>
    <row r="14" spans="1:19" x14ac:dyDescent="0.25">
      <c r="A14" s="10" t="s">
        <v>573</v>
      </c>
      <c r="B14" s="10" t="s">
        <v>574</v>
      </c>
      <c r="C14" s="10" t="s">
        <v>550</v>
      </c>
      <c r="D14" s="11">
        <v>45142</v>
      </c>
      <c r="E14" s="12">
        <v>265000</v>
      </c>
      <c r="F14" s="10" t="s">
        <v>22</v>
      </c>
      <c r="G14" s="10" t="s">
        <v>23</v>
      </c>
      <c r="H14" s="12">
        <v>265000</v>
      </c>
      <c r="I14" s="12">
        <v>132370</v>
      </c>
      <c r="J14" s="13">
        <f t="shared" si="0"/>
        <v>49.950943396226414</v>
      </c>
      <c r="K14" s="12">
        <v>264735</v>
      </c>
      <c r="L14" s="12">
        <f>H14-179101</f>
        <v>85899</v>
      </c>
      <c r="M14" s="12">
        <v>85634</v>
      </c>
      <c r="N14" s="12">
        <f t="shared" si="1"/>
        <v>53000</v>
      </c>
      <c r="O14" s="14">
        <v>0.78</v>
      </c>
      <c r="P14" s="12">
        <f t="shared" si="2"/>
        <v>110126.92307692308</v>
      </c>
      <c r="Q14" s="15">
        <f t="shared" si="3"/>
        <v>2.5281662781662781</v>
      </c>
      <c r="R14" s="15">
        <f t="shared" si="4"/>
        <v>2.5203668385486568</v>
      </c>
      <c r="S14" s="10" t="s">
        <v>24</v>
      </c>
    </row>
    <row r="15" spans="1:19" x14ac:dyDescent="0.25">
      <c r="A15" s="10" t="s">
        <v>573</v>
      </c>
      <c r="B15" s="10" t="s">
        <v>574</v>
      </c>
      <c r="C15" s="10" t="s">
        <v>550</v>
      </c>
      <c r="D15" s="11">
        <v>45581</v>
      </c>
      <c r="E15" s="12">
        <v>260000</v>
      </c>
      <c r="F15" s="10" t="s">
        <v>22</v>
      </c>
      <c r="G15" s="10" t="s">
        <v>23</v>
      </c>
      <c r="H15" s="12">
        <v>260000</v>
      </c>
      <c r="I15" s="12">
        <v>132370</v>
      </c>
      <c r="J15" s="13">
        <f t="shared" si="0"/>
        <v>50.911538461538463</v>
      </c>
      <c r="K15" s="12">
        <v>264735</v>
      </c>
      <c r="L15" s="12">
        <f>H15-179101</f>
        <v>80899</v>
      </c>
      <c r="M15" s="12">
        <v>85634</v>
      </c>
      <c r="N15" s="12">
        <f t="shared" si="1"/>
        <v>52000</v>
      </c>
      <c r="O15" s="14">
        <v>0.78</v>
      </c>
      <c r="P15" s="12">
        <f t="shared" si="2"/>
        <v>103716.66666666666</v>
      </c>
      <c r="Q15" s="15">
        <f t="shared" si="3"/>
        <v>2.3810070400979488</v>
      </c>
      <c r="R15" s="15">
        <f t="shared" si="4"/>
        <v>2.5203668385486568</v>
      </c>
      <c r="S15" s="10" t="s">
        <v>24</v>
      </c>
    </row>
    <row r="16" spans="1:19" x14ac:dyDescent="0.25">
      <c r="A16" s="10" t="s">
        <v>575</v>
      </c>
      <c r="B16" s="10" t="s">
        <v>576</v>
      </c>
      <c r="C16" s="10" t="s">
        <v>550</v>
      </c>
      <c r="D16" s="11">
        <v>45562</v>
      </c>
      <c r="E16" s="12">
        <v>340000</v>
      </c>
      <c r="F16" s="10" t="s">
        <v>29</v>
      </c>
      <c r="G16" s="10" t="s">
        <v>23</v>
      </c>
      <c r="H16" s="12">
        <v>340000</v>
      </c>
      <c r="I16" s="12">
        <v>172580</v>
      </c>
      <c r="J16" s="13">
        <f t="shared" si="0"/>
        <v>50.758823529411771</v>
      </c>
      <c r="K16" s="12">
        <v>345154</v>
      </c>
      <c r="L16" s="12">
        <f>H16-266310</f>
        <v>73690</v>
      </c>
      <c r="M16" s="12">
        <v>78844</v>
      </c>
      <c r="N16" s="12">
        <f t="shared" si="1"/>
        <v>68000</v>
      </c>
      <c r="O16" s="14">
        <v>0.36199999999999999</v>
      </c>
      <c r="P16" s="12">
        <f t="shared" si="2"/>
        <v>203563.53591160223</v>
      </c>
      <c r="Q16" s="15">
        <f t="shared" si="3"/>
        <v>4.6731757555464242</v>
      </c>
      <c r="R16" s="15">
        <f t="shared" si="4"/>
        <v>5.0000253666752918</v>
      </c>
      <c r="S16" s="10" t="s">
        <v>24</v>
      </c>
    </row>
    <row r="17" spans="1:19" x14ac:dyDescent="0.25">
      <c r="A17" s="10" t="s">
        <v>577</v>
      </c>
      <c r="B17" s="10" t="s">
        <v>578</v>
      </c>
      <c r="C17" s="10" t="s">
        <v>550</v>
      </c>
      <c r="D17" s="11">
        <v>45506</v>
      </c>
      <c r="E17" s="12">
        <v>150000</v>
      </c>
      <c r="F17" s="10" t="s">
        <v>472</v>
      </c>
      <c r="G17" s="10" t="s">
        <v>23</v>
      </c>
      <c r="H17" s="12">
        <v>150000</v>
      </c>
      <c r="I17" s="12">
        <v>108160</v>
      </c>
      <c r="J17" s="13">
        <f t="shared" si="0"/>
        <v>72.106666666666669</v>
      </c>
      <c r="K17" s="12">
        <v>216328</v>
      </c>
      <c r="L17" s="12">
        <f>H17-142940</f>
        <v>7060</v>
      </c>
      <c r="M17" s="12">
        <v>73388</v>
      </c>
      <c r="N17" s="12">
        <f t="shared" si="1"/>
        <v>30000</v>
      </c>
      <c r="O17" s="14">
        <v>0.29299999999999998</v>
      </c>
      <c r="P17" s="12">
        <f t="shared" si="2"/>
        <v>24095.563139931743</v>
      </c>
      <c r="Q17" s="15">
        <f t="shared" si="3"/>
        <v>0.55315801514994822</v>
      </c>
      <c r="R17" s="15">
        <f t="shared" si="4"/>
        <v>5.7500227217881585</v>
      </c>
      <c r="S17" s="10" t="s">
        <v>24</v>
      </c>
    </row>
    <row r="18" spans="1:19" x14ac:dyDescent="0.25">
      <c r="A18" s="10" t="s">
        <v>579</v>
      </c>
      <c r="B18" s="10" t="s">
        <v>580</v>
      </c>
      <c r="C18" s="10" t="s">
        <v>550</v>
      </c>
      <c r="D18" s="11">
        <v>45139</v>
      </c>
      <c r="E18" s="12">
        <v>415000</v>
      </c>
      <c r="F18" s="10" t="s">
        <v>29</v>
      </c>
      <c r="G18" s="10" t="s">
        <v>23</v>
      </c>
      <c r="H18" s="12">
        <v>415000</v>
      </c>
      <c r="I18" s="12">
        <v>220710</v>
      </c>
      <c r="J18" s="13">
        <f t="shared" si="0"/>
        <v>53.183132530120481</v>
      </c>
      <c r="K18" s="12">
        <v>441424</v>
      </c>
      <c r="L18" s="12">
        <f>H18-323429</f>
        <v>91571</v>
      </c>
      <c r="M18" s="12">
        <v>117995</v>
      </c>
      <c r="N18" s="12">
        <f t="shared" si="1"/>
        <v>83000</v>
      </c>
      <c r="O18" s="14">
        <v>0.67400000000000004</v>
      </c>
      <c r="P18" s="12">
        <f t="shared" si="2"/>
        <v>135862.01780415428</v>
      </c>
      <c r="Q18" s="15">
        <f t="shared" si="3"/>
        <v>3.1189627595076739</v>
      </c>
      <c r="R18" s="15">
        <f t="shared" si="4"/>
        <v>4.0189799260476358</v>
      </c>
      <c r="S18" s="10" t="s">
        <v>24</v>
      </c>
    </row>
    <row r="19" spans="1:19" x14ac:dyDescent="0.25">
      <c r="A19" s="10" t="s">
        <v>581</v>
      </c>
      <c r="B19" s="10" t="s">
        <v>582</v>
      </c>
      <c r="C19" s="10" t="s">
        <v>550</v>
      </c>
      <c r="D19" s="11">
        <v>45440</v>
      </c>
      <c r="E19" s="12">
        <v>217800</v>
      </c>
      <c r="F19" s="10" t="s">
        <v>22</v>
      </c>
      <c r="G19" s="10" t="s">
        <v>23</v>
      </c>
      <c r="H19" s="12">
        <v>217800</v>
      </c>
      <c r="I19" s="12">
        <v>122680</v>
      </c>
      <c r="J19" s="13">
        <f t="shared" si="0"/>
        <v>56.326905417814508</v>
      </c>
      <c r="K19" s="12">
        <v>245350</v>
      </c>
      <c r="L19" s="12">
        <f>H19-152676</f>
        <v>65124</v>
      </c>
      <c r="M19" s="12">
        <v>92674</v>
      </c>
      <c r="N19" s="12">
        <f t="shared" si="1"/>
        <v>43560</v>
      </c>
      <c r="O19" s="14">
        <v>0.37</v>
      </c>
      <c r="P19" s="12">
        <f t="shared" si="2"/>
        <v>176010.8108108108</v>
      </c>
      <c r="Q19" s="15">
        <f t="shared" si="3"/>
        <v>4.0406522224704045</v>
      </c>
      <c r="R19" s="15">
        <f t="shared" si="4"/>
        <v>5.7500062045516591</v>
      </c>
      <c r="S19" s="10" t="s">
        <v>24</v>
      </c>
    </row>
    <row r="20" spans="1:19" ht="15.75" thickBot="1" x14ac:dyDescent="0.3">
      <c r="A20" s="16"/>
      <c r="B20" s="16"/>
      <c r="C20" s="16"/>
      <c r="D20" s="17"/>
      <c r="E20" s="18"/>
      <c r="F20" s="16"/>
      <c r="G20" s="16"/>
      <c r="H20" s="18"/>
      <c r="I20" s="18"/>
      <c r="J20" s="19"/>
      <c r="K20" s="18"/>
      <c r="L20" s="18">
        <f>AVERAGE(L2:L19)</f>
        <v>102843</v>
      </c>
      <c r="M20" s="18">
        <f>AVERAGE(M2:M19)</f>
        <v>93312.388888888891</v>
      </c>
      <c r="N20" s="18">
        <f>AVERAGE(N2:N19)</f>
        <v>83224.444444444438</v>
      </c>
      <c r="O20" s="20"/>
      <c r="P20" s="18"/>
      <c r="Q20" s="21">
        <f>AVERAGE(Q2:Q19)</f>
        <v>4.2422214407888594</v>
      </c>
      <c r="R20" s="21">
        <f>AVERAGE(R2:R19)</f>
        <v>4.098531149802346</v>
      </c>
      <c r="S20" s="16"/>
    </row>
    <row r="21" spans="1:19" ht="15.75" thickTop="1" x14ac:dyDescent="0.25">
      <c r="A21" s="10"/>
      <c r="B21" s="10"/>
      <c r="C21" s="10"/>
      <c r="D21" s="11"/>
      <c r="E21" s="12"/>
      <c r="F21" s="10"/>
      <c r="G21" s="10"/>
      <c r="H21" s="12"/>
      <c r="I21" s="12"/>
      <c r="J21" s="13"/>
      <c r="K21" s="12"/>
      <c r="L21" s="12"/>
      <c r="M21" s="12"/>
      <c r="N21" s="12"/>
      <c r="O21" s="14"/>
      <c r="P21" s="12"/>
      <c r="Q21" s="15"/>
      <c r="R21" s="15"/>
      <c r="S21" s="10"/>
    </row>
    <row r="22" spans="1:19" x14ac:dyDescent="0.25">
      <c r="A22" s="10"/>
      <c r="B22" s="10"/>
      <c r="C22" s="10"/>
      <c r="D22" s="11"/>
      <c r="E22" s="12"/>
      <c r="F22" s="10"/>
      <c r="G22" s="10"/>
      <c r="H22" s="12"/>
      <c r="I22" s="12"/>
      <c r="J22" s="13"/>
      <c r="K22" s="12"/>
      <c r="L22" s="12"/>
      <c r="M22" s="12"/>
      <c r="N22" s="12"/>
      <c r="O22" s="14"/>
      <c r="P22" s="12"/>
      <c r="Q22" s="15"/>
      <c r="R22" s="15"/>
      <c r="S22" s="10"/>
    </row>
    <row r="23" spans="1:19" x14ac:dyDescent="0.25">
      <c r="A23" s="10" t="s">
        <v>583</v>
      </c>
      <c r="B23" s="10" t="s">
        <v>584</v>
      </c>
      <c r="C23" s="10" t="s">
        <v>585</v>
      </c>
      <c r="D23" s="11">
        <v>45602</v>
      </c>
      <c r="E23" s="12">
        <v>475000</v>
      </c>
      <c r="F23" s="10" t="s">
        <v>22</v>
      </c>
      <c r="G23" s="10" t="s">
        <v>23</v>
      </c>
      <c r="H23" s="12">
        <v>475000</v>
      </c>
      <c r="I23" s="12">
        <v>276200</v>
      </c>
      <c r="J23" s="13">
        <f>I23/H23*100</f>
        <v>58.147368421052633</v>
      </c>
      <c r="K23" s="12">
        <v>552405</v>
      </c>
      <c r="L23" s="12">
        <f>H23-392464</f>
        <v>82536</v>
      </c>
      <c r="M23" s="12">
        <v>159941</v>
      </c>
      <c r="N23" s="12">
        <f>E23*0.2</f>
        <v>95000</v>
      </c>
      <c r="O23" s="14">
        <v>1.7290000000000001</v>
      </c>
      <c r="P23" s="12">
        <f>L23/O23</f>
        <v>47736.263736263732</v>
      </c>
      <c r="Q23" s="15">
        <f>L23/O23/43560</f>
        <v>1.0958738231465504</v>
      </c>
      <c r="R23" s="15">
        <f>M23/O23/43560</f>
        <v>2.1236206642905207</v>
      </c>
      <c r="S23" s="10" t="s">
        <v>24</v>
      </c>
    </row>
    <row r="24" spans="1:19" x14ac:dyDescent="0.25">
      <c r="A24" s="10" t="s">
        <v>586</v>
      </c>
      <c r="B24" s="10" t="s">
        <v>587</v>
      </c>
      <c r="C24" s="10" t="s">
        <v>585</v>
      </c>
      <c r="D24" s="11">
        <v>45672</v>
      </c>
      <c r="E24" s="12">
        <v>400000</v>
      </c>
      <c r="F24" s="10" t="s">
        <v>22</v>
      </c>
      <c r="G24" s="10" t="s">
        <v>23</v>
      </c>
      <c r="H24" s="12">
        <v>400000</v>
      </c>
      <c r="I24" s="12">
        <v>46260</v>
      </c>
      <c r="J24" s="13">
        <f>I24/H24*100</f>
        <v>11.565</v>
      </c>
      <c r="K24" s="12">
        <v>92516</v>
      </c>
      <c r="L24" s="12">
        <f>H24-4318</f>
        <v>395682</v>
      </c>
      <c r="M24" s="12">
        <v>88198</v>
      </c>
      <c r="N24" s="12">
        <f>E24*0.2</f>
        <v>80000</v>
      </c>
      <c r="O24" s="14">
        <v>1.095</v>
      </c>
      <c r="P24" s="12">
        <f>L24/O24</f>
        <v>361353.42465753428</v>
      </c>
      <c r="Q24" s="15">
        <f>L24/O24/43560</f>
        <v>8.2955331647735147</v>
      </c>
      <c r="R24" s="15">
        <f>M24/O24/43560</f>
        <v>1.8490844518241778</v>
      </c>
      <c r="S24" s="10" t="s">
        <v>504</v>
      </c>
    </row>
    <row r="25" spans="1:19" ht="15.75" thickBot="1" x14ac:dyDescent="0.3">
      <c r="A25" s="16"/>
      <c r="B25" s="16"/>
      <c r="C25" s="16"/>
      <c r="D25" s="17"/>
      <c r="E25" s="18"/>
      <c r="F25" s="16"/>
      <c r="G25" s="16"/>
      <c r="H25" s="18"/>
      <c r="I25" s="18"/>
      <c r="J25" s="19"/>
      <c r="K25" s="18"/>
      <c r="L25" s="18">
        <f>AVERAGE(L23:L24)</f>
        <v>239109</v>
      </c>
      <c r="M25" s="18">
        <f>AVERAGE(M23:M24)</f>
        <v>124069.5</v>
      </c>
      <c r="N25" s="18">
        <f>AVERAGE(N23:N24)</f>
        <v>87500</v>
      </c>
      <c r="O25" s="20"/>
      <c r="P25" s="18"/>
      <c r="Q25" s="21">
        <f>AVERAGE(Q23:Q24)</f>
        <v>4.6957034939600328</v>
      </c>
      <c r="R25" s="21">
        <f>AVERAGE(R23:R24)</f>
        <v>1.9863525580573493</v>
      </c>
      <c r="S25" s="16"/>
    </row>
    <row r="26" spans="1:19" ht="15.75" thickTop="1" x14ac:dyDescent="0.25">
      <c r="A26" s="10"/>
      <c r="B26" s="10"/>
      <c r="C26" s="10"/>
      <c r="D26" s="11"/>
      <c r="E26" s="12"/>
      <c r="F26" s="10"/>
      <c r="G26" s="10"/>
      <c r="H26" s="12"/>
      <c r="I26" s="12"/>
      <c r="J26" s="13"/>
      <c r="K26" s="12"/>
      <c r="L26" s="12"/>
      <c r="M26" s="12"/>
      <c r="N26" s="12"/>
      <c r="O26" s="14"/>
      <c r="P26" s="12"/>
      <c r="Q26" s="15"/>
      <c r="R26" s="15"/>
      <c r="S26" s="10"/>
    </row>
    <row r="27" spans="1:19" x14ac:dyDescent="0.25">
      <c r="A27" s="10"/>
      <c r="B27" s="10"/>
      <c r="C27" s="10"/>
      <c r="D27" s="11"/>
      <c r="E27" s="12"/>
      <c r="F27" s="10"/>
      <c r="G27" s="10"/>
      <c r="H27" s="12"/>
      <c r="I27" s="12"/>
      <c r="J27" s="13"/>
      <c r="K27" s="12"/>
      <c r="L27" s="12"/>
      <c r="M27" s="12"/>
      <c r="N27" s="12"/>
      <c r="O27" s="14"/>
      <c r="P27" s="12"/>
      <c r="Q27" s="15"/>
      <c r="R27" s="15"/>
      <c r="S27" s="10"/>
    </row>
    <row r="28" spans="1:19" x14ac:dyDescent="0.25">
      <c r="A28" s="10"/>
      <c r="B28" s="10"/>
      <c r="C28" s="10"/>
      <c r="D28" s="11"/>
      <c r="E28" s="12"/>
      <c r="F28" s="10"/>
      <c r="G28" s="10"/>
      <c r="H28" s="12"/>
      <c r="I28" s="12"/>
      <c r="J28" s="13"/>
      <c r="K28" s="12"/>
      <c r="L28" s="12"/>
      <c r="M28" s="12"/>
      <c r="N28" s="12"/>
      <c r="O28" s="14"/>
      <c r="P28" s="12"/>
      <c r="Q28" s="15"/>
      <c r="R28" s="15"/>
      <c r="S28" s="10"/>
    </row>
    <row r="29" spans="1:19" x14ac:dyDescent="0.25">
      <c r="A29" s="10" t="s">
        <v>588</v>
      </c>
      <c r="B29" s="10" t="s">
        <v>589</v>
      </c>
      <c r="C29" s="10" t="s">
        <v>590</v>
      </c>
      <c r="D29" s="11">
        <v>45468</v>
      </c>
      <c r="E29" s="12">
        <v>342500</v>
      </c>
      <c r="F29" s="10" t="s">
        <v>22</v>
      </c>
      <c r="G29" s="10" t="s">
        <v>23</v>
      </c>
      <c r="H29" s="12">
        <v>342500</v>
      </c>
      <c r="I29" s="12">
        <v>142930</v>
      </c>
      <c r="J29" s="13">
        <f>I29/H29*100</f>
        <v>41.731386861313865</v>
      </c>
      <c r="K29" s="12">
        <v>285852</v>
      </c>
      <c r="L29" s="12">
        <f>H29-220882</f>
        <v>121618</v>
      </c>
      <c r="M29" s="12">
        <v>64970</v>
      </c>
      <c r="N29" s="12">
        <f>E29*0.2</f>
        <v>68500</v>
      </c>
      <c r="O29" s="14">
        <v>0.314</v>
      </c>
      <c r="P29" s="12">
        <f>L29/O29</f>
        <v>387318.4713375796</v>
      </c>
      <c r="Q29" s="15">
        <f>L29/O29/43560</f>
        <v>8.891608616565188</v>
      </c>
      <c r="R29" s="15">
        <f>M29/O29/43560</f>
        <v>4.7500190088493506</v>
      </c>
      <c r="S29" s="10" t="s">
        <v>24</v>
      </c>
    </row>
    <row r="30" spans="1:19" ht="15.75" thickBot="1" x14ac:dyDescent="0.3">
      <c r="A30" s="16"/>
      <c r="B30" s="16"/>
      <c r="C30" s="16"/>
      <c r="D30" s="17"/>
      <c r="E30" s="18"/>
      <c r="F30" s="16"/>
      <c r="G30" s="16"/>
      <c r="H30" s="18"/>
      <c r="I30" s="18"/>
      <c r="J30" s="19"/>
      <c r="K30" s="18"/>
      <c r="L30" s="18">
        <f>AVERAGE(L29)</f>
        <v>121618</v>
      </c>
      <c r="M30" s="18">
        <f>AVERAGE(M29)</f>
        <v>64970</v>
      </c>
      <c r="N30" s="18">
        <f>AVERAGE(N29)</f>
        <v>68500</v>
      </c>
      <c r="O30" s="20"/>
      <c r="P30" s="18"/>
      <c r="Q30" s="21">
        <f>AVERAGE(Q29)</f>
        <v>8.891608616565188</v>
      </c>
      <c r="R30" s="21">
        <f>AVERAGE(R29)</f>
        <v>4.7500190088493506</v>
      </c>
      <c r="S30" s="16"/>
    </row>
    <row r="31" spans="1:19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1D5A8-9330-4E7E-9FEF-0256D9323CDA}">
  <dimension ref="A1:S7"/>
  <sheetViews>
    <sheetView workbookViewId="0">
      <selection activeCell="B12" sqref="B12"/>
    </sheetView>
  </sheetViews>
  <sheetFormatPr defaultRowHeight="15" x14ac:dyDescent="0.25"/>
  <cols>
    <col min="1" max="1" width="12.42578125" bestFit="1" customWidth="1"/>
    <col min="2" max="2" width="16" bestFit="1" customWidth="1"/>
    <col min="3" max="3" width="12.5703125" bestFit="1" customWidth="1"/>
    <col min="7" max="7" width="13.14062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180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591</v>
      </c>
      <c r="B2" s="10" t="s">
        <v>592</v>
      </c>
      <c r="C2" s="10" t="s">
        <v>593</v>
      </c>
      <c r="D2" s="11">
        <v>45596</v>
      </c>
      <c r="E2" s="12">
        <v>1175000</v>
      </c>
      <c r="F2" s="10" t="s">
        <v>22</v>
      </c>
      <c r="G2" s="10" t="s">
        <v>23</v>
      </c>
      <c r="H2" s="12">
        <v>1175000</v>
      </c>
      <c r="I2" s="12">
        <v>578680</v>
      </c>
      <c r="J2" s="13">
        <f>I2/H2*100</f>
        <v>49.249361702127658</v>
      </c>
      <c r="K2" s="12">
        <v>1157361</v>
      </c>
      <c r="L2" s="12">
        <f>H2-851788</f>
        <v>323212</v>
      </c>
      <c r="M2" s="12">
        <v>305573</v>
      </c>
      <c r="N2" s="12">
        <f>E2*0.2</f>
        <v>235000</v>
      </c>
      <c r="O2" s="14">
        <v>0.46</v>
      </c>
      <c r="P2" s="12">
        <f>L2/O2</f>
        <v>702634.78260869568</v>
      </c>
      <c r="Q2" s="15">
        <f>L2/O2/43560</f>
        <v>16.130275082844253</v>
      </c>
      <c r="R2" s="15">
        <f>M2/O2/43560</f>
        <v>15.249980037529443</v>
      </c>
      <c r="S2" s="10" t="s">
        <v>24</v>
      </c>
    </row>
    <row r="3" spans="1:19" x14ac:dyDescent="0.25">
      <c r="A3" s="10" t="s">
        <v>591</v>
      </c>
      <c r="B3" s="10" t="s">
        <v>592</v>
      </c>
      <c r="C3" s="10" t="s">
        <v>593</v>
      </c>
      <c r="D3" s="11">
        <v>45595</v>
      </c>
      <c r="E3" s="12">
        <v>1175000</v>
      </c>
      <c r="F3" s="10" t="s">
        <v>29</v>
      </c>
      <c r="G3" s="10" t="s">
        <v>23</v>
      </c>
      <c r="H3" s="12">
        <v>1175000</v>
      </c>
      <c r="I3" s="12">
        <v>578680</v>
      </c>
      <c r="J3" s="13">
        <f>I3/H3*100</f>
        <v>49.249361702127658</v>
      </c>
      <c r="K3" s="12">
        <v>1157361</v>
      </c>
      <c r="L3" s="12">
        <f>H3-851788</f>
        <v>323212</v>
      </c>
      <c r="M3" s="12">
        <v>305573</v>
      </c>
      <c r="N3" s="12">
        <f>E3*0.2</f>
        <v>235000</v>
      </c>
      <c r="O3" s="14">
        <v>0.46</v>
      </c>
      <c r="P3" s="12">
        <f>L3/O3</f>
        <v>702634.78260869568</v>
      </c>
      <c r="Q3" s="15">
        <f>L3/O3/43560</f>
        <v>16.130275082844253</v>
      </c>
      <c r="R3" s="15">
        <f>M3/O3/43560</f>
        <v>15.249980037529443</v>
      </c>
      <c r="S3" s="10" t="s">
        <v>24</v>
      </c>
    </row>
    <row r="4" spans="1:19" x14ac:dyDescent="0.25">
      <c r="A4" s="10" t="s">
        <v>594</v>
      </c>
      <c r="B4" s="10" t="s">
        <v>595</v>
      </c>
      <c r="C4" s="10" t="s">
        <v>593</v>
      </c>
      <c r="D4" s="11">
        <v>45485</v>
      </c>
      <c r="E4" s="12">
        <v>1250000</v>
      </c>
      <c r="F4" s="10" t="s">
        <v>22</v>
      </c>
      <c r="G4" s="10" t="s">
        <v>23</v>
      </c>
      <c r="H4" s="12">
        <v>1250000</v>
      </c>
      <c r="I4" s="12">
        <v>583900</v>
      </c>
      <c r="J4" s="13">
        <f>I4/H4*100</f>
        <v>46.711999999999996</v>
      </c>
      <c r="K4" s="12">
        <v>1167806</v>
      </c>
      <c r="L4" s="12">
        <f>H4-834703</f>
        <v>415297</v>
      </c>
      <c r="M4" s="12">
        <v>333103</v>
      </c>
      <c r="N4" s="12">
        <f>E4*0.2</f>
        <v>250000</v>
      </c>
      <c r="O4" s="14">
        <v>0.51100000000000001</v>
      </c>
      <c r="P4" s="12">
        <f>L4/O4</f>
        <v>812714.28571428568</v>
      </c>
      <c r="Q4" s="15">
        <f>L4/O4/43560</f>
        <v>18.65735274826184</v>
      </c>
      <c r="R4" s="15">
        <f>M4/O4/43560</f>
        <v>14.964760574972281</v>
      </c>
      <c r="S4" s="10" t="s">
        <v>24</v>
      </c>
    </row>
    <row r="5" spans="1:19" x14ac:dyDescent="0.25">
      <c r="A5" s="10" t="s">
        <v>596</v>
      </c>
      <c r="B5" s="10" t="s">
        <v>597</v>
      </c>
      <c r="C5" s="10" t="s">
        <v>593</v>
      </c>
      <c r="D5" s="11">
        <v>45457</v>
      </c>
      <c r="E5" s="12">
        <v>1456000</v>
      </c>
      <c r="F5" s="10" t="s">
        <v>29</v>
      </c>
      <c r="G5" s="10" t="s">
        <v>23</v>
      </c>
      <c r="H5" s="12">
        <v>1456000</v>
      </c>
      <c r="I5" s="12">
        <v>496070</v>
      </c>
      <c r="J5" s="13">
        <f>I5/H5*100</f>
        <v>34.070741758241759</v>
      </c>
      <c r="K5" s="12">
        <v>992137</v>
      </c>
      <c r="L5" s="12">
        <f>H5-667299</f>
        <v>788701</v>
      </c>
      <c r="M5" s="12">
        <v>324838</v>
      </c>
      <c r="N5" s="12">
        <f>E5*0.2</f>
        <v>291200</v>
      </c>
      <c r="O5" s="14">
        <v>0.48899999999999999</v>
      </c>
      <c r="P5" s="12">
        <f>L5/O5</f>
        <v>1612885.4805725971</v>
      </c>
      <c r="Q5" s="15">
        <f>L5/O5/43560</f>
        <v>37.026755752355307</v>
      </c>
      <c r="R5" s="15">
        <f>M5/O5/43560</f>
        <v>15.250008919836025</v>
      </c>
      <c r="S5" s="10" t="s">
        <v>24</v>
      </c>
    </row>
    <row r="6" spans="1:19" ht="15.75" thickBot="1" x14ac:dyDescent="0.3">
      <c r="A6" s="16"/>
      <c r="B6" s="16"/>
      <c r="C6" s="16"/>
      <c r="D6" s="17"/>
      <c r="E6" s="18"/>
      <c r="F6" s="16"/>
      <c r="G6" s="16"/>
      <c r="H6" s="18"/>
      <c r="I6" s="18"/>
      <c r="J6" s="19"/>
      <c r="K6" s="18"/>
      <c r="L6" s="18">
        <f>AVERAGE(L2:L5)</f>
        <v>462605.5</v>
      </c>
      <c r="M6" s="18">
        <f>AVERAGE(M2:M5)</f>
        <v>317271.75</v>
      </c>
      <c r="N6" s="18">
        <f>AVERAGE(N2:N5)</f>
        <v>252800</v>
      </c>
      <c r="O6" s="20"/>
      <c r="P6" s="18"/>
      <c r="Q6" s="21">
        <f>AVERAGE(Q2:Q5)</f>
        <v>21.986164666576414</v>
      </c>
      <c r="R6" s="21">
        <f>AVERAGE(R2:R5)</f>
        <v>15.178682392466799</v>
      </c>
      <c r="S6" s="16"/>
    </row>
    <row r="7" spans="1:19" ht="15.75" thickTop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AB0B-48EE-4736-B920-956D09472D18}">
  <dimension ref="A1:S65"/>
  <sheetViews>
    <sheetView workbookViewId="0">
      <selection activeCell="A53" sqref="A53:XFD56"/>
    </sheetView>
  </sheetViews>
  <sheetFormatPr defaultRowHeight="15" x14ac:dyDescent="0.25"/>
  <cols>
    <col min="1" max="1" width="12.42578125" bestFit="1" customWidth="1"/>
    <col min="2" max="2" width="23" bestFit="1" customWidth="1"/>
    <col min="3" max="3" width="12.5703125" bestFit="1" customWidth="1"/>
    <col min="4" max="4" width="9.28515625" bestFit="1" customWidth="1"/>
    <col min="7" max="7" width="13.14062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180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598</v>
      </c>
      <c r="B2" s="10" t="s">
        <v>599</v>
      </c>
      <c r="C2" s="10" t="s">
        <v>600</v>
      </c>
      <c r="D2" s="11">
        <v>45103</v>
      </c>
      <c r="E2" s="12">
        <v>93500</v>
      </c>
      <c r="F2" s="10" t="s">
        <v>22</v>
      </c>
      <c r="G2" s="10" t="s">
        <v>23</v>
      </c>
      <c r="H2" s="12">
        <v>93500</v>
      </c>
      <c r="I2" s="12">
        <v>45070</v>
      </c>
      <c r="J2" s="13">
        <f>I2/H2*100</f>
        <v>48.203208556149733</v>
      </c>
      <c r="K2" s="12">
        <v>90139</v>
      </c>
      <c r="L2" s="12">
        <f>H2-58852</f>
        <v>34648</v>
      </c>
      <c r="M2" s="12">
        <v>31287</v>
      </c>
      <c r="N2" s="12">
        <f>E2*0.2</f>
        <v>18700</v>
      </c>
      <c r="O2" s="14">
        <v>0.221</v>
      </c>
      <c r="P2" s="12">
        <f>L2/O2</f>
        <v>156778.28054298644</v>
      </c>
      <c r="Q2" s="15">
        <f>L2/O2/43560</f>
        <v>3.5991340804175032</v>
      </c>
      <c r="R2" s="15">
        <f>M2/O2/43560</f>
        <v>3.2500031163132768</v>
      </c>
      <c r="S2" s="10" t="s">
        <v>24</v>
      </c>
    </row>
    <row r="3" spans="1:19" x14ac:dyDescent="0.25">
      <c r="A3" s="10" t="s">
        <v>601</v>
      </c>
      <c r="B3" s="10" t="s">
        <v>602</v>
      </c>
      <c r="C3" s="10" t="s">
        <v>600</v>
      </c>
      <c r="D3" s="11">
        <v>45623</v>
      </c>
      <c r="E3" s="12">
        <v>162000</v>
      </c>
      <c r="F3" s="10" t="s">
        <v>22</v>
      </c>
      <c r="G3" s="10" t="s">
        <v>23</v>
      </c>
      <c r="H3" s="12">
        <v>162000</v>
      </c>
      <c r="I3" s="12">
        <v>78270</v>
      </c>
      <c r="J3" s="13">
        <f>I3/H3*100</f>
        <v>48.314814814814817</v>
      </c>
      <c r="K3" s="12">
        <v>156530</v>
      </c>
      <c r="L3" s="12">
        <f>H3-109050</f>
        <v>52950</v>
      </c>
      <c r="M3" s="12">
        <v>47480</v>
      </c>
      <c r="N3" s="12">
        <f>E3*0.2</f>
        <v>32400</v>
      </c>
      <c r="O3" s="14">
        <v>0.218</v>
      </c>
      <c r="P3" s="12">
        <f>L3/O3</f>
        <v>242889.90825688074</v>
      </c>
      <c r="Q3" s="15">
        <f>L3/O3/43560</f>
        <v>5.5759850380367482</v>
      </c>
      <c r="R3" s="15">
        <f>M3/O3/43560</f>
        <v>4.9999578773557092</v>
      </c>
      <c r="S3" s="10" t="s">
        <v>24</v>
      </c>
    </row>
    <row r="4" spans="1:19" x14ac:dyDescent="0.25">
      <c r="A4" s="10" t="s">
        <v>603</v>
      </c>
      <c r="B4" s="10" t="s">
        <v>604</v>
      </c>
      <c r="C4" s="10" t="s">
        <v>600</v>
      </c>
      <c r="D4" s="11">
        <v>45604</v>
      </c>
      <c r="E4" s="12">
        <v>205000</v>
      </c>
      <c r="F4" s="10" t="s">
        <v>22</v>
      </c>
      <c r="G4" s="10" t="s">
        <v>23</v>
      </c>
      <c r="H4" s="12">
        <v>205000</v>
      </c>
      <c r="I4" s="12">
        <v>77160</v>
      </c>
      <c r="J4" s="13">
        <f>I4/H4*100</f>
        <v>37.639024390243904</v>
      </c>
      <c r="K4" s="12">
        <v>154320</v>
      </c>
      <c r="L4" s="12">
        <f>H4-90984</f>
        <v>114016</v>
      </c>
      <c r="M4" s="12">
        <v>63336</v>
      </c>
      <c r="N4" s="12">
        <f>E4*0.2</f>
        <v>41000</v>
      </c>
      <c r="O4" s="14">
        <v>0.35199999999999998</v>
      </c>
      <c r="P4" s="12">
        <f>L4/O4</f>
        <v>323909.09090909094</v>
      </c>
      <c r="Q4" s="15">
        <f>L4/O4/43560</f>
        <v>7.4359295433675605</v>
      </c>
      <c r="R4" s="15">
        <f>M4/O4/43560</f>
        <v>4.1306661657901333</v>
      </c>
      <c r="S4" s="10" t="s">
        <v>24</v>
      </c>
    </row>
    <row r="5" spans="1:19" x14ac:dyDescent="0.25">
      <c r="A5" s="10" t="s">
        <v>605</v>
      </c>
      <c r="B5" s="10" t="s">
        <v>606</v>
      </c>
      <c r="C5" s="10" t="s">
        <v>600</v>
      </c>
      <c r="D5" s="11">
        <v>45482</v>
      </c>
      <c r="E5" s="12">
        <v>130000</v>
      </c>
      <c r="F5" s="10" t="s">
        <v>29</v>
      </c>
      <c r="G5" s="10" t="s">
        <v>23</v>
      </c>
      <c r="H5" s="12">
        <v>130000</v>
      </c>
      <c r="I5" s="12">
        <v>30800</v>
      </c>
      <c r="J5" s="13">
        <f>I5/H5*100</f>
        <v>23.692307692307693</v>
      </c>
      <c r="K5" s="12">
        <v>61592</v>
      </c>
      <c r="L5" s="12">
        <f>H5-0</f>
        <v>130000</v>
      </c>
      <c r="M5" s="12">
        <v>61592</v>
      </c>
      <c r="N5" s="12">
        <f>E5*0.2</f>
        <v>26000</v>
      </c>
      <c r="O5" s="14">
        <v>0.33200000000000002</v>
      </c>
      <c r="P5" s="12">
        <f>L5/O5</f>
        <v>391566.26506024093</v>
      </c>
      <c r="Q5" s="15">
        <f>L5/O5/43560</f>
        <v>8.9891245422461186</v>
      </c>
      <c r="R5" s="15">
        <f>M5/O5/43560</f>
        <v>4.2589089138924843</v>
      </c>
      <c r="S5" s="10" t="s">
        <v>504</v>
      </c>
    </row>
    <row r="6" spans="1:19" x14ac:dyDescent="0.25">
      <c r="A6" s="10" t="s">
        <v>607</v>
      </c>
      <c r="B6" s="10" t="s">
        <v>608</v>
      </c>
      <c r="C6" s="10" t="s">
        <v>600</v>
      </c>
      <c r="D6" s="11">
        <v>45028</v>
      </c>
      <c r="E6" s="12">
        <v>230000</v>
      </c>
      <c r="F6" s="10" t="s">
        <v>472</v>
      </c>
      <c r="G6" s="10" t="s">
        <v>23</v>
      </c>
      <c r="H6" s="12">
        <v>230000</v>
      </c>
      <c r="I6" s="12">
        <v>112640</v>
      </c>
      <c r="J6" s="13">
        <f>I6/H6*100</f>
        <v>48.973913043478262</v>
      </c>
      <c r="K6" s="12">
        <v>225285</v>
      </c>
      <c r="L6" s="12">
        <f>H6-168049</f>
        <v>61951</v>
      </c>
      <c r="M6" s="12">
        <v>57236</v>
      </c>
      <c r="N6" s="12">
        <f>E6*0.2</f>
        <v>46000</v>
      </c>
      <c r="O6" s="14">
        <v>0.28199999999999997</v>
      </c>
      <c r="P6" s="12">
        <f>L6/O6</f>
        <v>219684.39716312059</v>
      </c>
      <c r="Q6" s="15">
        <f>L6/O6/43560</f>
        <v>5.0432598063158993</v>
      </c>
      <c r="R6" s="15">
        <f>M6/O6/43560</f>
        <v>4.6594246787670386</v>
      </c>
      <c r="S6" s="10" t="s">
        <v>24</v>
      </c>
    </row>
    <row r="7" spans="1:19" ht="15.75" thickBot="1" x14ac:dyDescent="0.3">
      <c r="A7" s="16"/>
      <c r="B7" s="16"/>
      <c r="C7" s="16"/>
      <c r="D7" s="17"/>
      <c r="E7" s="18"/>
      <c r="F7" s="16"/>
      <c r="G7" s="16"/>
      <c r="H7" s="18"/>
      <c r="I7" s="18"/>
      <c r="J7" s="19"/>
      <c r="K7" s="18"/>
      <c r="L7" s="18">
        <f>AVERAGE(L2:L6)</f>
        <v>78713</v>
      </c>
      <c r="M7" s="18">
        <f>AVERAGE(M2:M6)</f>
        <v>52186.2</v>
      </c>
      <c r="N7" s="18">
        <f>AVERAGE(N2:N6)</f>
        <v>32820</v>
      </c>
      <c r="O7" s="20"/>
      <c r="P7" s="18"/>
      <c r="Q7" s="21">
        <f>AVERAGE(Q2:Q6)</f>
        <v>6.1286866020767654</v>
      </c>
      <c r="R7" s="21">
        <f>AVERAGE(R2:R6)</f>
        <v>4.2597921504237286</v>
      </c>
      <c r="S7" s="16"/>
    </row>
    <row r="8" spans="1:19" ht="15.75" thickTop="1" x14ac:dyDescent="0.25">
      <c r="A8" s="10"/>
      <c r="B8" s="10"/>
      <c r="C8" s="10"/>
      <c r="D8" s="11"/>
      <c r="E8" s="12"/>
      <c r="F8" s="10"/>
      <c r="G8" s="10"/>
      <c r="H8" s="12"/>
      <c r="I8" s="12"/>
      <c r="J8" s="13"/>
      <c r="K8" s="12"/>
      <c r="L8" s="12"/>
      <c r="M8" s="12"/>
      <c r="N8" s="12"/>
      <c r="O8" s="14"/>
      <c r="P8" s="12"/>
      <c r="Q8" s="15"/>
      <c r="R8" s="15"/>
      <c r="S8" s="10"/>
    </row>
    <row r="9" spans="1:19" x14ac:dyDescent="0.25">
      <c r="A9" s="10"/>
      <c r="B9" s="10"/>
      <c r="C9" s="10"/>
      <c r="D9" s="11"/>
      <c r="E9" s="12"/>
      <c r="F9" s="10"/>
      <c r="G9" s="10"/>
      <c r="H9" s="12"/>
      <c r="I9" s="12"/>
      <c r="J9" s="13"/>
      <c r="K9" s="12"/>
      <c r="L9" s="12"/>
      <c r="M9" s="12"/>
      <c r="N9" s="12"/>
      <c r="O9" s="14"/>
      <c r="P9" s="12"/>
      <c r="Q9" s="15"/>
      <c r="R9" s="15"/>
      <c r="S9" s="10"/>
    </row>
    <row r="10" spans="1:19" x14ac:dyDescent="0.25">
      <c r="A10" s="10" t="s">
        <v>609</v>
      </c>
      <c r="B10" s="10" t="s">
        <v>610</v>
      </c>
      <c r="C10" s="10" t="s">
        <v>611</v>
      </c>
      <c r="D10" s="11">
        <v>45531</v>
      </c>
      <c r="E10" s="12">
        <v>450000</v>
      </c>
      <c r="F10" s="10" t="s">
        <v>29</v>
      </c>
      <c r="G10" s="10" t="s">
        <v>23</v>
      </c>
      <c r="H10" s="12">
        <v>450000</v>
      </c>
      <c r="I10" s="12">
        <v>170820</v>
      </c>
      <c r="J10" s="13">
        <f>I10/H10*100</f>
        <v>37.96</v>
      </c>
      <c r="K10" s="12">
        <v>341630</v>
      </c>
      <c r="L10" s="12">
        <f>H10-276225</f>
        <v>173775</v>
      </c>
      <c r="M10" s="12">
        <v>65405</v>
      </c>
      <c r="N10" s="12">
        <f>E10*0.2</f>
        <v>90000</v>
      </c>
      <c r="O10" s="14">
        <v>0.42899999999999999</v>
      </c>
      <c r="P10" s="12">
        <f>L10/O10</f>
        <v>405069.93006993009</v>
      </c>
      <c r="Q10" s="15">
        <f>L10/O10/43560</f>
        <v>9.2991260346632245</v>
      </c>
      <c r="R10" s="15">
        <f>M10/O10/43560</f>
        <v>3.4999818057669296</v>
      </c>
      <c r="S10" s="10" t="s">
        <v>24</v>
      </c>
    </row>
    <row r="11" spans="1:19" x14ac:dyDescent="0.25">
      <c r="A11" s="10" t="s">
        <v>612</v>
      </c>
      <c r="B11" s="10" t="s">
        <v>613</v>
      </c>
      <c r="C11" s="10" t="s">
        <v>611</v>
      </c>
      <c r="D11" s="11">
        <v>45562</v>
      </c>
      <c r="E11" s="12">
        <v>324000</v>
      </c>
      <c r="F11" s="10" t="s">
        <v>22</v>
      </c>
      <c r="G11" s="10" t="s">
        <v>23</v>
      </c>
      <c r="H11" s="12">
        <v>324000</v>
      </c>
      <c r="I11" s="12">
        <v>168300</v>
      </c>
      <c r="J11" s="13">
        <f>I11/H11*100</f>
        <v>51.94444444444445</v>
      </c>
      <c r="K11" s="12">
        <v>336604</v>
      </c>
      <c r="L11" s="12">
        <f>H11-256366</f>
        <v>67634</v>
      </c>
      <c r="M11" s="12">
        <v>80238</v>
      </c>
      <c r="N11" s="12">
        <f>E11*0.2</f>
        <v>64800</v>
      </c>
      <c r="O11" s="14">
        <v>0.54600000000000004</v>
      </c>
      <c r="P11" s="12">
        <f>L11/O11</f>
        <v>123871.79487179486</v>
      </c>
      <c r="Q11" s="15">
        <f>L11/O11/43560</f>
        <v>2.843705116432389</v>
      </c>
      <c r="R11" s="15">
        <f>M11/O11/43560</f>
        <v>3.3736465554647372</v>
      </c>
      <c r="S11" s="10" t="s">
        <v>24</v>
      </c>
    </row>
    <row r="12" spans="1:19" x14ac:dyDescent="0.25">
      <c r="A12" s="10" t="s">
        <v>614</v>
      </c>
      <c r="B12" s="10" t="s">
        <v>615</v>
      </c>
      <c r="C12" s="10" t="s">
        <v>611</v>
      </c>
      <c r="D12" s="11">
        <v>45483</v>
      </c>
      <c r="E12" s="12">
        <v>561000</v>
      </c>
      <c r="F12" s="10" t="s">
        <v>22</v>
      </c>
      <c r="G12" s="10" t="s">
        <v>23</v>
      </c>
      <c r="H12" s="12">
        <v>561000</v>
      </c>
      <c r="I12" s="12">
        <v>182590</v>
      </c>
      <c r="J12" s="13">
        <f>I12/H12*100</f>
        <v>32.547237076648841</v>
      </c>
      <c r="K12" s="12">
        <v>365178</v>
      </c>
      <c r="L12" s="12">
        <f>H12-256256</f>
        <v>304744</v>
      </c>
      <c r="M12" s="12">
        <v>108922</v>
      </c>
      <c r="N12" s="12">
        <f>E12*0.2</f>
        <v>112200</v>
      </c>
      <c r="O12" s="14">
        <v>0.91700000000000004</v>
      </c>
      <c r="P12" s="12">
        <f>L12/O12</f>
        <v>332327.15376226825</v>
      </c>
      <c r="Q12" s="15">
        <f>L12/O12/43560</f>
        <v>7.6291816749832018</v>
      </c>
      <c r="R12" s="15">
        <f>M12/O12/43560</f>
        <v>2.726832116145093</v>
      </c>
      <c r="S12" s="10" t="s">
        <v>24</v>
      </c>
    </row>
    <row r="13" spans="1:19" x14ac:dyDescent="0.25">
      <c r="A13" s="10" t="s">
        <v>616</v>
      </c>
      <c r="B13" s="10" t="s">
        <v>617</v>
      </c>
      <c r="C13" s="10" t="s">
        <v>611</v>
      </c>
      <c r="D13" s="11">
        <v>45575</v>
      </c>
      <c r="E13" s="12">
        <v>315000</v>
      </c>
      <c r="F13" s="10" t="s">
        <v>22</v>
      </c>
      <c r="G13" s="10" t="s">
        <v>23</v>
      </c>
      <c r="H13" s="12">
        <v>315000</v>
      </c>
      <c r="I13" s="12">
        <v>133010</v>
      </c>
      <c r="J13" s="13">
        <f>I13/H13*100</f>
        <v>42.225396825396828</v>
      </c>
      <c r="K13" s="12">
        <v>266026</v>
      </c>
      <c r="L13" s="12">
        <f>H13-188663</f>
        <v>126337</v>
      </c>
      <c r="M13" s="12">
        <v>77363</v>
      </c>
      <c r="N13" s="12">
        <f>E13*0.2</f>
        <v>63000</v>
      </c>
      <c r="O13" s="14">
        <v>0.51300000000000001</v>
      </c>
      <c r="P13" s="12">
        <f>L13/O13</f>
        <v>246270.95516569199</v>
      </c>
      <c r="Q13" s="15">
        <f>L13/O13/43560</f>
        <v>5.653603194804683</v>
      </c>
      <c r="R13" s="15">
        <f>M13/O13/43560</f>
        <v>3.4620079941717363</v>
      </c>
      <c r="S13" s="10" t="s">
        <v>24</v>
      </c>
    </row>
    <row r="14" spans="1:19" x14ac:dyDescent="0.25">
      <c r="A14" s="10" t="s">
        <v>618</v>
      </c>
      <c r="B14" s="10" t="s">
        <v>619</v>
      </c>
      <c r="C14" s="10" t="s">
        <v>611</v>
      </c>
      <c r="D14" s="11">
        <v>45455</v>
      </c>
      <c r="E14" s="12">
        <v>410000</v>
      </c>
      <c r="F14" s="10" t="s">
        <v>22</v>
      </c>
      <c r="G14" s="10" t="s">
        <v>23</v>
      </c>
      <c r="H14" s="12">
        <v>410000</v>
      </c>
      <c r="I14" s="12">
        <v>131870</v>
      </c>
      <c r="J14" s="13">
        <f>I14/H14*100</f>
        <v>32.163414634146342</v>
      </c>
      <c r="K14" s="12">
        <v>263743</v>
      </c>
      <c r="L14" s="12">
        <f>H14-201417</f>
        <v>208583</v>
      </c>
      <c r="M14" s="12">
        <v>62326</v>
      </c>
      <c r="N14" s="12">
        <f>E14*0.2</f>
        <v>82000</v>
      </c>
      <c r="O14" s="14">
        <v>0.64700000000000002</v>
      </c>
      <c r="P14" s="12">
        <f>L14/O14</f>
        <v>322384.85316846985</v>
      </c>
      <c r="Q14" s="15">
        <f>L14/O14/43560</f>
        <v>7.4009378596985735</v>
      </c>
      <c r="R14" s="15">
        <f>M14/O14/43560</f>
        <v>2.2114498930573121</v>
      </c>
      <c r="S14" s="10" t="s">
        <v>24</v>
      </c>
    </row>
    <row r="15" spans="1:19" ht="15.75" thickBot="1" x14ac:dyDescent="0.3">
      <c r="A15" s="16"/>
      <c r="B15" s="16"/>
      <c r="C15" s="16"/>
      <c r="D15" s="17"/>
      <c r="E15" s="18"/>
      <c r="F15" s="16"/>
      <c r="G15" s="16"/>
      <c r="H15" s="18"/>
      <c r="I15" s="18"/>
      <c r="J15" s="19"/>
      <c r="K15" s="18"/>
      <c r="L15" s="18">
        <f>AVERAGE(L10:L14)</f>
        <v>176214.6</v>
      </c>
      <c r="M15" s="18">
        <f>AVERAGE(M10:M14)</f>
        <v>78850.8</v>
      </c>
      <c r="N15" s="18">
        <f>AVERAGE(N10:N14)</f>
        <v>82400</v>
      </c>
      <c r="O15" s="20"/>
      <c r="P15" s="18"/>
      <c r="Q15" s="21">
        <f>AVERAGE(Q10:Q14)</f>
        <v>6.565310776116414</v>
      </c>
      <c r="R15" s="21">
        <f>AVERAGE(R10:R14)</f>
        <v>3.0547836729211619</v>
      </c>
      <c r="S15" s="16"/>
    </row>
    <row r="16" spans="1:19" ht="15.75" thickTop="1" x14ac:dyDescent="0.25">
      <c r="A16" s="10"/>
      <c r="B16" s="10"/>
      <c r="C16" s="10"/>
      <c r="D16" s="11"/>
      <c r="E16" s="12"/>
      <c r="F16" s="10"/>
      <c r="G16" s="10"/>
      <c r="H16" s="12"/>
      <c r="I16" s="12"/>
      <c r="J16" s="13"/>
      <c r="K16" s="12"/>
      <c r="L16" s="12"/>
      <c r="M16" s="12"/>
      <c r="N16" s="12"/>
      <c r="O16" s="14"/>
      <c r="P16" s="12"/>
      <c r="Q16" s="15"/>
      <c r="R16" s="15"/>
      <c r="S16" s="10"/>
    </row>
    <row r="17" spans="1:19" x14ac:dyDescent="0.25">
      <c r="A17" s="10"/>
      <c r="B17" s="10"/>
      <c r="C17" s="10"/>
      <c r="D17" s="11"/>
      <c r="E17" s="12"/>
      <c r="F17" s="10"/>
      <c r="G17" s="10"/>
      <c r="H17" s="12"/>
      <c r="I17" s="12"/>
      <c r="J17" s="13"/>
      <c r="K17" s="12"/>
      <c r="L17" s="12"/>
      <c r="M17" s="12"/>
      <c r="N17" s="12"/>
      <c r="O17" s="14"/>
      <c r="P17" s="12"/>
      <c r="Q17" s="15"/>
      <c r="R17" s="15"/>
      <c r="S17" s="10"/>
    </row>
    <row r="18" spans="1:19" x14ac:dyDescent="0.25">
      <c r="A18" s="10" t="s">
        <v>620</v>
      </c>
      <c r="B18" s="10" t="s">
        <v>621</v>
      </c>
      <c r="C18" s="10" t="s">
        <v>622</v>
      </c>
      <c r="D18" s="11">
        <v>45054</v>
      </c>
      <c r="E18" s="12">
        <v>540000</v>
      </c>
      <c r="F18" s="10" t="s">
        <v>22</v>
      </c>
      <c r="G18" s="10" t="s">
        <v>23</v>
      </c>
      <c r="H18" s="12">
        <v>540000</v>
      </c>
      <c r="I18" s="12">
        <v>294260</v>
      </c>
      <c r="J18" s="13">
        <f t="shared" ref="J18:J25" si="0">I18/H18*100</f>
        <v>54.492592592592594</v>
      </c>
      <c r="K18" s="12">
        <v>588512</v>
      </c>
      <c r="L18" s="12">
        <f>H18-440865</f>
        <v>99135</v>
      </c>
      <c r="M18" s="12">
        <v>147647</v>
      </c>
      <c r="N18" s="12">
        <f t="shared" ref="N18:N25" si="1">E18*0.2</f>
        <v>108000</v>
      </c>
      <c r="O18" s="14">
        <v>0.56200000000000006</v>
      </c>
      <c r="P18" s="12">
        <f t="shared" ref="P18:P25" si="2">L18/O18</f>
        <v>176396.79715302491</v>
      </c>
      <c r="Q18" s="15">
        <f t="shared" ref="Q18:Q25" si="3">L18/O18/43560</f>
        <v>4.049513249610305</v>
      </c>
      <c r="R18" s="15">
        <f t="shared" ref="R18:R25" si="4">M18/O18/43560</f>
        <v>6.0311543124548619</v>
      </c>
      <c r="S18" s="10" t="s">
        <v>24</v>
      </c>
    </row>
    <row r="19" spans="1:19" x14ac:dyDescent="0.25">
      <c r="A19" s="10" t="s">
        <v>623</v>
      </c>
      <c r="B19" s="10" t="s">
        <v>624</v>
      </c>
      <c r="C19" s="10" t="s">
        <v>622</v>
      </c>
      <c r="D19" s="11">
        <v>45142</v>
      </c>
      <c r="E19" s="12">
        <v>635000</v>
      </c>
      <c r="F19" s="10" t="s">
        <v>29</v>
      </c>
      <c r="G19" s="10" t="s">
        <v>23</v>
      </c>
      <c r="H19" s="12">
        <v>635000</v>
      </c>
      <c r="I19" s="12">
        <v>263820</v>
      </c>
      <c r="J19" s="13">
        <f t="shared" si="0"/>
        <v>41.546456692913388</v>
      </c>
      <c r="K19" s="12">
        <v>527630</v>
      </c>
      <c r="L19" s="12">
        <f>H19-433061</f>
        <v>201939</v>
      </c>
      <c r="M19" s="12">
        <v>94569</v>
      </c>
      <c r="N19" s="12">
        <f t="shared" si="1"/>
        <v>127000</v>
      </c>
      <c r="O19" s="14">
        <v>0.33400000000000002</v>
      </c>
      <c r="P19" s="12">
        <f t="shared" si="2"/>
        <v>604607.78443113773</v>
      </c>
      <c r="Q19" s="15">
        <f t="shared" si="3"/>
        <v>13.879884858382409</v>
      </c>
      <c r="R19" s="15">
        <f t="shared" si="4"/>
        <v>6.5000164959337523</v>
      </c>
      <c r="S19" s="10" t="s">
        <v>24</v>
      </c>
    </row>
    <row r="20" spans="1:19" x14ac:dyDescent="0.25">
      <c r="A20" s="10" t="s">
        <v>625</v>
      </c>
      <c r="B20" s="10" t="s">
        <v>626</v>
      </c>
      <c r="C20" s="10" t="s">
        <v>622</v>
      </c>
      <c r="D20" s="11">
        <v>45313</v>
      </c>
      <c r="E20" s="12">
        <v>750000</v>
      </c>
      <c r="F20" s="10" t="s">
        <v>22</v>
      </c>
      <c r="G20" s="10" t="s">
        <v>23</v>
      </c>
      <c r="H20" s="12">
        <v>750000</v>
      </c>
      <c r="I20" s="12">
        <v>275910</v>
      </c>
      <c r="J20" s="13">
        <f t="shared" si="0"/>
        <v>36.787999999999997</v>
      </c>
      <c r="K20" s="12">
        <v>551824</v>
      </c>
      <c r="L20" s="12">
        <f>H20-414501</f>
        <v>335499</v>
      </c>
      <c r="M20" s="12">
        <v>137323</v>
      </c>
      <c r="N20" s="12">
        <f t="shared" si="1"/>
        <v>150000</v>
      </c>
      <c r="O20" s="14">
        <v>0.48499999999999999</v>
      </c>
      <c r="P20" s="12">
        <f t="shared" si="2"/>
        <v>691750.51546391752</v>
      </c>
      <c r="Q20" s="15">
        <f t="shared" si="3"/>
        <v>15.880406691090853</v>
      </c>
      <c r="R20" s="15">
        <f t="shared" si="4"/>
        <v>6.5000047333693072</v>
      </c>
      <c r="S20" s="10" t="s">
        <v>24</v>
      </c>
    </row>
    <row r="21" spans="1:19" x14ac:dyDescent="0.25">
      <c r="A21" s="10" t="s">
        <v>627</v>
      </c>
      <c r="B21" s="10" t="s">
        <v>628</v>
      </c>
      <c r="C21" s="10" t="s">
        <v>622</v>
      </c>
      <c r="D21" s="11">
        <v>45385</v>
      </c>
      <c r="E21" s="12">
        <v>230000</v>
      </c>
      <c r="F21" s="10" t="s">
        <v>29</v>
      </c>
      <c r="G21" s="10" t="s">
        <v>23</v>
      </c>
      <c r="H21" s="12">
        <v>230000</v>
      </c>
      <c r="I21" s="12">
        <v>59910</v>
      </c>
      <c r="J21" s="13">
        <f t="shared" si="0"/>
        <v>26.047826086956523</v>
      </c>
      <c r="K21" s="12">
        <v>119826</v>
      </c>
      <c r="L21" s="12">
        <f>H21-0</f>
        <v>230000</v>
      </c>
      <c r="M21" s="12">
        <v>119826</v>
      </c>
      <c r="N21" s="12">
        <f t="shared" si="1"/>
        <v>46000</v>
      </c>
      <c r="O21" s="14">
        <v>0.81699999999999995</v>
      </c>
      <c r="P21" s="12">
        <f t="shared" si="2"/>
        <v>281517.74785801716</v>
      </c>
      <c r="Q21" s="15">
        <f t="shared" si="3"/>
        <v>6.4627582152896501</v>
      </c>
      <c r="R21" s="15">
        <f t="shared" si="4"/>
        <v>3.3669846343708594</v>
      </c>
      <c r="S21" s="10" t="s">
        <v>24</v>
      </c>
    </row>
    <row r="22" spans="1:19" x14ac:dyDescent="0.25">
      <c r="A22" s="10" t="s">
        <v>629</v>
      </c>
      <c r="B22" s="10" t="s">
        <v>630</v>
      </c>
      <c r="C22" s="10" t="s">
        <v>622</v>
      </c>
      <c r="D22" s="11">
        <v>45531</v>
      </c>
      <c r="E22" s="12">
        <v>155000</v>
      </c>
      <c r="F22" s="10" t="s">
        <v>22</v>
      </c>
      <c r="G22" s="10" t="s">
        <v>23</v>
      </c>
      <c r="H22" s="12">
        <v>155000</v>
      </c>
      <c r="I22" s="12">
        <v>46010</v>
      </c>
      <c r="J22" s="13">
        <f t="shared" si="0"/>
        <v>29.683870967741939</v>
      </c>
      <c r="K22" s="12">
        <v>92020</v>
      </c>
      <c r="L22" s="12">
        <f>H22-0</f>
        <v>155000</v>
      </c>
      <c r="M22" s="12">
        <v>92020</v>
      </c>
      <c r="N22" s="12">
        <f t="shared" si="1"/>
        <v>31000</v>
      </c>
      <c r="O22" s="14">
        <v>0.32500000000000001</v>
      </c>
      <c r="P22" s="12">
        <f t="shared" si="2"/>
        <v>476923.07692307688</v>
      </c>
      <c r="Q22" s="15">
        <f t="shared" si="3"/>
        <v>10.948647312283676</v>
      </c>
      <c r="R22" s="15">
        <f t="shared" si="4"/>
        <v>6.4999646817828625</v>
      </c>
      <c r="S22" s="10" t="s">
        <v>504</v>
      </c>
    </row>
    <row r="23" spans="1:19" x14ac:dyDescent="0.25">
      <c r="A23" s="10" t="s">
        <v>631</v>
      </c>
      <c r="B23" s="10" t="s">
        <v>632</v>
      </c>
      <c r="C23" s="10" t="s">
        <v>622</v>
      </c>
      <c r="D23" s="11">
        <v>45114</v>
      </c>
      <c r="E23" s="12">
        <v>1699000</v>
      </c>
      <c r="F23" s="10" t="s">
        <v>29</v>
      </c>
      <c r="G23" s="10" t="s">
        <v>23</v>
      </c>
      <c r="H23" s="12">
        <v>1699000</v>
      </c>
      <c r="I23" s="12">
        <v>582370</v>
      </c>
      <c r="J23" s="13">
        <f t="shared" si="0"/>
        <v>34.277221895232493</v>
      </c>
      <c r="K23" s="12">
        <v>1164748</v>
      </c>
      <c r="L23" s="12">
        <f>H23-1011025</f>
        <v>687975</v>
      </c>
      <c r="M23" s="12">
        <v>153723</v>
      </c>
      <c r="N23" s="12">
        <f t="shared" si="1"/>
        <v>339800</v>
      </c>
      <c r="O23" s="14">
        <v>0.5</v>
      </c>
      <c r="P23" s="12">
        <f t="shared" si="2"/>
        <v>1375950</v>
      </c>
      <c r="Q23" s="15">
        <f t="shared" si="3"/>
        <v>31.587465564738292</v>
      </c>
      <c r="R23" s="15">
        <f t="shared" si="4"/>
        <v>7.057988980716253</v>
      </c>
      <c r="S23" s="10" t="s">
        <v>24</v>
      </c>
    </row>
    <row r="24" spans="1:19" x14ac:dyDescent="0.25">
      <c r="A24" s="10" t="s">
        <v>633</v>
      </c>
      <c r="B24" s="10" t="s">
        <v>634</v>
      </c>
      <c r="C24" s="10" t="s">
        <v>622</v>
      </c>
      <c r="D24" s="11">
        <v>45524</v>
      </c>
      <c r="E24" s="12">
        <v>875000</v>
      </c>
      <c r="F24" s="10" t="s">
        <v>29</v>
      </c>
      <c r="G24" s="10" t="s">
        <v>23</v>
      </c>
      <c r="H24" s="12">
        <v>875000</v>
      </c>
      <c r="I24" s="12">
        <v>365030</v>
      </c>
      <c r="J24" s="13">
        <f t="shared" si="0"/>
        <v>41.717714285714287</v>
      </c>
      <c r="K24" s="12">
        <v>730067</v>
      </c>
      <c r="L24" s="12">
        <f>H24-600957</f>
        <v>274043</v>
      </c>
      <c r="M24" s="12">
        <v>129110</v>
      </c>
      <c r="N24" s="12">
        <f t="shared" si="1"/>
        <v>175000</v>
      </c>
      <c r="O24" s="14">
        <v>0.45600000000000002</v>
      </c>
      <c r="P24" s="12">
        <f t="shared" si="2"/>
        <v>600971.49122807011</v>
      </c>
      <c r="Q24" s="15">
        <f t="shared" si="3"/>
        <v>13.796407052985998</v>
      </c>
      <c r="R24" s="15">
        <f t="shared" si="4"/>
        <v>6.4999073671322467</v>
      </c>
      <c r="S24" s="10" t="s">
        <v>24</v>
      </c>
    </row>
    <row r="25" spans="1:19" x14ac:dyDescent="0.25">
      <c r="A25" s="10" t="s">
        <v>635</v>
      </c>
      <c r="B25" s="10" t="s">
        <v>636</v>
      </c>
      <c r="C25" s="10" t="s">
        <v>622</v>
      </c>
      <c r="D25" s="11">
        <v>45656</v>
      </c>
      <c r="E25" s="12">
        <v>535000</v>
      </c>
      <c r="F25" s="10" t="s">
        <v>22</v>
      </c>
      <c r="G25" s="10" t="s">
        <v>23</v>
      </c>
      <c r="H25" s="12">
        <v>535000</v>
      </c>
      <c r="I25" s="12">
        <v>129340</v>
      </c>
      <c r="J25" s="13">
        <f t="shared" si="0"/>
        <v>24.175700934579439</v>
      </c>
      <c r="K25" s="12">
        <v>258682</v>
      </c>
      <c r="L25" s="12">
        <f>H25-172323</f>
        <v>362677</v>
      </c>
      <c r="M25" s="12">
        <v>86359</v>
      </c>
      <c r="N25" s="12">
        <f t="shared" si="1"/>
        <v>107000</v>
      </c>
      <c r="O25" s="14">
        <v>0.30499999999999999</v>
      </c>
      <c r="P25" s="12">
        <f t="shared" si="2"/>
        <v>1189104.9180327868</v>
      </c>
      <c r="Q25" s="15">
        <f t="shared" si="3"/>
        <v>27.298092700477198</v>
      </c>
      <c r="R25" s="15">
        <f t="shared" si="4"/>
        <v>6.500097848831083</v>
      </c>
      <c r="S25" s="10" t="s">
        <v>24</v>
      </c>
    </row>
    <row r="26" spans="1:19" ht="15.75" thickBot="1" x14ac:dyDescent="0.3">
      <c r="A26" s="16"/>
      <c r="B26" s="16"/>
      <c r="C26" s="16"/>
      <c r="D26" s="17"/>
      <c r="E26" s="18"/>
      <c r="F26" s="16"/>
      <c r="G26" s="16"/>
      <c r="H26" s="18"/>
      <c r="I26" s="18"/>
      <c r="J26" s="19"/>
      <c r="K26" s="18"/>
      <c r="L26" s="18">
        <f>AVERAGE(L18:L25)</f>
        <v>293283.5</v>
      </c>
      <c r="M26" s="18">
        <f>AVERAGE(M18:M25)</f>
        <v>120072.125</v>
      </c>
      <c r="N26" s="18">
        <f>AVERAGE(N18:N25)</f>
        <v>135475</v>
      </c>
      <c r="O26" s="20"/>
      <c r="P26" s="18"/>
      <c r="Q26" s="21">
        <f>AVERAGE(Q18:Q25)</f>
        <v>15.487896955607297</v>
      </c>
      <c r="R26" s="21">
        <f>AVERAGE(R18:R25)</f>
        <v>6.1195148818239034</v>
      </c>
      <c r="S26" s="16"/>
    </row>
    <row r="27" spans="1:19" ht="15.75" thickTop="1" x14ac:dyDescent="0.25">
      <c r="A27" s="10"/>
      <c r="B27" s="10"/>
      <c r="C27" s="10"/>
      <c r="D27" s="11"/>
      <c r="E27" s="12"/>
      <c r="F27" s="10"/>
      <c r="G27" s="10"/>
      <c r="H27" s="12"/>
      <c r="I27" s="12"/>
      <c r="J27" s="13"/>
      <c r="K27" s="12"/>
      <c r="L27" s="12"/>
      <c r="M27" s="12"/>
      <c r="N27" s="12"/>
      <c r="O27" s="14"/>
      <c r="P27" s="12"/>
      <c r="Q27" s="15"/>
      <c r="R27" s="15"/>
      <c r="S27" s="10"/>
    </row>
    <row r="28" spans="1:19" x14ac:dyDescent="0.25">
      <c r="A28" s="10"/>
      <c r="B28" s="10"/>
      <c r="C28" s="10"/>
      <c r="D28" s="11"/>
      <c r="E28" s="12"/>
      <c r="F28" s="10"/>
      <c r="G28" s="10"/>
      <c r="H28" s="12"/>
      <c r="I28" s="12"/>
      <c r="J28" s="13"/>
      <c r="K28" s="12"/>
      <c r="L28" s="12"/>
      <c r="M28" s="12"/>
      <c r="N28" s="12"/>
      <c r="O28" s="14"/>
      <c r="P28" s="12"/>
      <c r="Q28" s="15"/>
      <c r="R28" s="15"/>
      <c r="S28" s="10"/>
    </row>
    <row r="29" spans="1:19" x14ac:dyDescent="0.25">
      <c r="A29" s="10" t="s">
        <v>637</v>
      </c>
      <c r="B29" s="10" t="s">
        <v>638</v>
      </c>
      <c r="C29" s="10" t="s">
        <v>639</v>
      </c>
      <c r="D29" s="11">
        <v>45586</v>
      </c>
      <c r="E29" s="12">
        <v>275000</v>
      </c>
      <c r="F29" s="10" t="s">
        <v>29</v>
      </c>
      <c r="G29" s="10" t="s">
        <v>23</v>
      </c>
      <c r="H29" s="12">
        <v>275000</v>
      </c>
      <c r="I29" s="12">
        <v>97820</v>
      </c>
      <c r="J29" s="13">
        <f>I29/H29*100</f>
        <v>35.57090909090909</v>
      </c>
      <c r="K29" s="12">
        <v>195647</v>
      </c>
      <c r="L29" s="12">
        <f>H29-106262</f>
        <v>168738</v>
      </c>
      <c r="M29" s="12">
        <v>89385</v>
      </c>
      <c r="N29" s="12">
        <f>E29*0.2</f>
        <v>55000</v>
      </c>
      <c r="O29" s="14">
        <v>0.52600000000000002</v>
      </c>
      <c r="P29" s="12">
        <f>L29/O29</f>
        <v>320794.67680608365</v>
      </c>
      <c r="Q29" s="15">
        <f>L29/O29/43560</f>
        <v>7.3644324335648221</v>
      </c>
      <c r="R29" s="15">
        <f>M29/O29/43560</f>
        <v>3.9011354471084854</v>
      </c>
      <c r="S29" s="10" t="s">
        <v>24</v>
      </c>
    </row>
    <row r="30" spans="1:19" x14ac:dyDescent="0.25">
      <c r="A30" s="10" t="s">
        <v>640</v>
      </c>
      <c r="B30" s="10" t="s">
        <v>641</v>
      </c>
      <c r="C30" s="10" t="s">
        <v>639</v>
      </c>
      <c r="D30" s="11">
        <v>45247</v>
      </c>
      <c r="E30" s="12">
        <v>245000</v>
      </c>
      <c r="F30" s="10" t="s">
        <v>29</v>
      </c>
      <c r="G30" s="10" t="s">
        <v>23</v>
      </c>
      <c r="H30" s="12">
        <v>245000</v>
      </c>
      <c r="I30" s="12">
        <v>107000</v>
      </c>
      <c r="J30" s="13">
        <f>I30/H30*100</f>
        <v>43.673469387755105</v>
      </c>
      <c r="K30" s="12">
        <v>213999</v>
      </c>
      <c r="L30" s="12">
        <f>H30-161030</f>
        <v>83970</v>
      </c>
      <c r="M30" s="12">
        <v>52969</v>
      </c>
      <c r="N30" s="12">
        <f>E30*0.2</f>
        <v>49000</v>
      </c>
      <c r="O30" s="14">
        <v>0.30399999999999999</v>
      </c>
      <c r="P30" s="12">
        <f>L30/O30</f>
        <v>276217.10526315792</v>
      </c>
      <c r="Q30" s="15">
        <f>L30/O30/43560</f>
        <v>6.3410722053066557</v>
      </c>
      <c r="R30" s="15">
        <f>M30/O30/43560</f>
        <v>4.0000030206369921</v>
      </c>
      <c r="S30" s="10" t="s">
        <v>24</v>
      </c>
    </row>
    <row r="31" spans="1:19" x14ac:dyDescent="0.25">
      <c r="A31" s="10" t="s">
        <v>642</v>
      </c>
      <c r="B31" s="10" t="s">
        <v>643</v>
      </c>
      <c r="C31" s="10" t="s">
        <v>639</v>
      </c>
      <c r="D31" s="11">
        <v>45723</v>
      </c>
      <c r="E31" s="12">
        <v>350000</v>
      </c>
      <c r="F31" s="10" t="s">
        <v>22</v>
      </c>
      <c r="G31" s="10" t="s">
        <v>23</v>
      </c>
      <c r="H31" s="12">
        <v>350000</v>
      </c>
      <c r="I31" s="12">
        <v>55210</v>
      </c>
      <c r="J31" s="13">
        <f>I31/H31*100</f>
        <v>15.774285714285712</v>
      </c>
      <c r="K31" s="12">
        <v>110425</v>
      </c>
      <c r="L31" s="12">
        <f>H31-0</f>
        <v>350000</v>
      </c>
      <c r="M31" s="12">
        <v>110425</v>
      </c>
      <c r="N31" s="12">
        <f>E31*0.2</f>
        <v>70000</v>
      </c>
      <c r="O31" s="14">
        <v>0.89</v>
      </c>
      <c r="P31" s="12">
        <f>L31/O31</f>
        <v>393258.42696629214</v>
      </c>
      <c r="Q31" s="15">
        <f>L31/O31/43560</f>
        <v>9.0279712343042267</v>
      </c>
      <c r="R31" s="15">
        <f>M31/O31/43560</f>
        <v>2.8483249244229838</v>
      </c>
      <c r="S31" s="10" t="s">
        <v>504</v>
      </c>
    </row>
    <row r="32" spans="1:19" ht="15.75" thickBot="1" x14ac:dyDescent="0.3">
      <c r="A32" s="16"/>
      <c r="B32" s="16"/>
      <c r="C32" s="16"/>
      <c r="D32" s="17"/>
      <c r="E32" s="18"/>
      <c r="F32" s="16"/>
      <c r="G32" s="16"/>
      <c r="H32" s="18"/>
      <c r="I32" s="18"/>
      <c r="J32" s="19"/>
      <c r="K32" s="18"/>
      <c r="L32" s="18">
        <f>AVERAGE(L29:L31)</f>
        <v>200902.66666666666</v>
      </c>
      <c r="M32" s="18">
        <f>AVERAGE(M29:M31)</f>
        <v>84259.666666666672</v>
      </c>
      <c r="N32" s="18">
        <f>AVERAGE(N29:N31)</f>
        <v>58000</v>
      </c>
      <c r="O32" s="20"/>
      <c r="P32" s="18"/>
      <c r="Q32" s="21">
        <f>AVERAGE(Q29:Q31)</f>
        <v>7.5778252910585691</v>
      </c>
      <c r="R32" s="21">
        <f>AVERAGE(R29:R31)</f>
        <v>3.5831544640561539</v>
      </c>
      <c r="S32" s="16"/>
    </row>
    <row r="33" spans="1:19" ht="15.75" thickTop="1" x14ac:dyDescent="0.25">
      <c r="A33" s="10"/>
      <c r="B33" s="10"/>
      <c r="C33" s="10"/>
      <c r="D33" s="11"/>
      <c r="E33" s="12"/>
      <c r="F33" s="10"/>
      <c r="G33" s="10"/>
      <c r="H33" s="12"/>
      <c r="I33" s="12"/>
      <c r="J33" s="13"/>
      <c r="K33" s="12"/>
      <c r="L33" s="12"/>
      <c r="M33" s="12"/>
      <c r="N33" s="12"/>
      <c r="O33" s="14"/>
      <c r="P33" s="12"/>
      <c r="Q33" s="15"/>
      <c r="R33" s="15"/>
      <c r="S33" s="10"/>
    </row>
    <row r="34" spans="1:19" x14ac:dyDescent="0.25">
      <c r="A34" s="10"/>
      <c r="B34" s="10"/>
      <c r="C34" s="10"/>
      <c r="D34" s="11"/>
      <c r="E34" s="12"/>
      <c r="F34" s="10"/>
      <c r="G34" s="10"/>
      <c r="H34" s="12"/>
      <c r="I34" s="12"/>
      <c r="J34" s="13"/>
      <c r="K34" s="12"/>
      <c r="L34" s="12"/>
      <c r="M34" s="12"/>
      <c r="N34" s="12"/>
      <c r="O34" s="14"/>
      <c r="P34" s="12"/>
      <c r="Q34" s="15"/>
      <c r="R34" s="15"/>
      <c r="S34" s="10"/>
    </row>
    <row r="35" spans="1:19" x14ac:dyDescent="0.25">
      <c r="A35" s="10" t="s">
        <v>644</v>
      </c>
      <c r="B35" s="10" t="s">
        <v>645</v>
      </c>
      <c r="C35" s="10" t="s">
        <v>646</v>
      </c>
      <c r="D35" s="11">
        <v>45114</v>
      </c>
      <c r="E35" s="12">
        <v>1200000</v>
      </c>
      <c r="F35" s="10" t="s">
        <v>29</v>
      </c>
      <c r="G35" s="10" t="s">
        <v>23</v>
      </c>
      <c r="H35" s="12">
        <v>1200000</v>
      </c>
      <c r="I35" s="12">
        <v>372400</v>
      </c>
      <c r="J35" s="13">
        <f t="shared" ref="J35:J40" si="5">I35/H35*100</f>
        <v>31.033333333333335</v>
      </c>
      <c r="K35" s="12">
        <v>744800</v>
      </c>
      <c r="L35" s="12">
        <f>H35-463838</f>
        <v>736162</v>
      </c>
      <c r="M35" s="12">
        <v>280962</v>
      </c>
      <c r="N35" s="12">
        <f t="shared" ref="N35:N40" si="6">E35*0.2</f>
        <v>240000</v>
      </c>
      <c r="O35" s="14">
        <v>0.54</v>
      </c>
      <c r="P35" s="12">
        <f t="shared" ref="P35:P40" si="7">L35/O35</f>
        <v>1363262.9629629629</v>
      </c>
      <c r="Q35" s="15">
        <f t="shared" ref="Q35:Q40" si="8">L35/O35/43560</f>
        <v>31.296211270958743</v>
      </c>
      <c r="R35" s="15">
        <f t="shared" ref="R35:R40" si="9">M35/O35/43560</f>
        <v>11.944444444444443</v>
      </c>
      <c r="S35" s="10" t="s">
        <v>24</v>
      </c>
    </row>
    <row r="36" spans="1:19" x14ac:dyDescent="0.25">
      <c r="A36" s="10" t="s">
        <v>647</v>
      </c>
      <c r="B36" s="10" t="s">
        <v>648</v>
      </c>
      <c r="C36" s="10" t="s">
        <v>646</v>
      </c>
      <c r="D36" s="11">
        <v>45167</v>
      </c>
      <c r="E36" s="12">
        <v>1100000</v>
      </c>
      <c r="F36" s="10" t="s">
        <v>22</v>
      </c>
      <c r="G36" s="10" t="s">
        <v>23</v>
      </c>
      <c r="H36" s="12">
        <v>1100000</v>
      </c>
      <c r="I36" s="12">
        <v>322140</v>
      </c>
      <c r="J36" s="13">
        <f t="shared" si="5"/>
        <v>29.285454545454549</v>
      </c>
      <c r="K36" s="12">
        <v>644279</v>
      </c>
      <c r="L36" s="12">
        <f>H36-377474</f>
        <v>722526</v>
      </c>
      <c r="M36" s="12">
        <v>266805</v>
      </c>
      <c r="N36" s="12">
        <f t="shared" si="6"/>
        <v>220000</v>
      </c>
      <c r="O36" s="14">
        <v>0.49</v>
      </c>
      <c r="P36" s="12">
        <f t="shared" si="7"/>
        <v>1474542.8571428573</v>
      </c>
      <c r="Q36" s="15">
        <f t="shared" si="8"/>
        <v>33.850846123573398</v>
      </c>
      <c r="R36" s="15">
        <f t="shared" si="9"/>
        <v>12.5</v>
      </c>
      <c r="S36" s="10" t="s">
        <v>24</v>
      </c>
    </row>
    <row r="37" spans="1:19" x14ac:dyDescent="0.25">
      <c r="A37" s="10" t="s">
        <v>649</v>
      </c>
      <c r="B37" s="10" t="s">
        <v>650</v>
      </c>
      <c r="C37" s="10" t="s">
        <v>646</v>
      </c>
      <c r="D37" s="11">
        <v>45096</v>
      </c>
      <c r="E37" s="12">
        <v>635000</v>
      </c>
      <c r="F37" s="10" t="s">
        <v>29</v>
      </c>
      <c r="G37" s="10" t="s">
        <v>23</v>
      </c>
      <c r="H37" s="12">
        <v>635000</v>
      </c>
      <c r="I37" s="12">
        <v>324340</v>
      </c>
      <c r="J37" s="13">
        <f t="shared" si="5"/>
        <v>51.07716535433071</v>
      </c>
      <c r="K37" s="12">
        <v>648678</v>
      </c>
      <c r="L37" s="12">
        <f>H37-335373</f>
        <v>299627</v>
      </c>
      <c r="M37" s="12">
        <v>313305</v>
      </c>
      <c r="N37" s="12">
        <f t="shared" si="6"/>
        <v>127000</v>
      </c>
      <c r="O37" s="14">
        <v>0.62</v>
      </c>
      <c r="P37" s="12">
        <f t="shared" si="7"/>
        <v>483269.3548387097</v>
      </c>
      <c r="Q37" s="15">
        <f t="shared" si="8"/>
        <v>11.094337806214639</v>
      </c>
      <c r="R37" s="15">
        <f t="shared" si="9"/>
        <v>11.600795343463965</v>
      </c>
      <c r="S37" s="10" t="s">
        <v>24</v>
      </c>
    </row>
    <row r="38" spans="1:19" x14ac:dyDescent="0.25">
      <c r="A38" s="10" t="s">
        <v>651</v>
      </c>
      <c r="B38" s="10" t="s">
        <v>652</v>
      </c>
      <c r="C38" s="10" t="s">
        <v>646</v>
      </c>
      <c r="D38" s="11">
        <v>45706</v>
      </c>
      <c r="E38" s="12">
        <v>638625</v>
      </c>
      <c r="F38" s="10" t="s">
        <v>22</v>
      </c>
      <c r="G38" s="10" t="s">
        <v>23</v>
      </c>
      <c r="H38" s="12">
        <v>638625</v>
      </c>
      <c r="I38" s="12">
        <v>221880</v>
      </c>
      <c r="J38" s="13">
        <f t="shared" si="5"/>
        <v>34.743394010569581</v>
      </c>
      <c r="K38" s="12">
        <v>443756</v>
      </c>
      <c r="L38" s="12">
        <f>H38-215066</f>
        <v>423559</v>
      </c>
      <c r="M38" s="12">
        <v>228690</v>
      </c>
      <c r="N38" s="12">
        <f t="shared" si="6"/>
        <v>127725</v>
      </c>
      <c r="O38" s="14">
        <v>0.42</v>
      </c>
      <c r="P38" s="12">
        <f t="shared" si="7"/>
        <v>1008473.8095238096</v>
      </c>
      <c r="Q38" s="15">
        <f t="shared" si="8"/>
        <v>23.151373037736676</v>
      </c>
      <c r="R38" s="15">
        <f t="shared" si="9"/>
        <v>12.5</v>
      </c>
      <c r="S38" s="10" t="s">
        <v>24</v>
      </c>
    </row>
    <row r="39" spans="1:19" x14ac:dyDescent="0.25">
      <c r="A39" s="10" t="s">
        <v>653</v>
      </c>
      <c r="B39" s="10" t="s">
        <v>654</v>
      </c>
      <c r="C39" s="10" t="s">
        <v>646</v>
      </c>
      <c r="D39" s="11">
        <v>45282</v>
      </c>
      <c r="E39" s="12">
        <v>2200000</v>
      </c>
      <c r="F39" s="10" t="s">
        <v>22</v>
      </c>
      <c r="G39" s="10" t="s">
        <v>23</v>
      </c>
      <c r="H39" s="12">
        <v>2200000</v>
      </c>
      <c r="I39" s="12">
        <v>751870</v>
      </c>
      <c r="J39" s="13">
        <f t="shared" si="5"/>
        <v>34.175909090909087</v>
      </c>
      <c r="K39" s="12">
        <v>1503748</v>
      </c>
      <c r="L39" s="12">
        <f>H39-1258178</f>
        <v>941822</v>
      </c>
      <c r="M39" s="12">
        <v>245570</v>
      </c>
      <c r="N39" s="12">
        <f t="shared" si="6"/>
        <v>440000</v>
      </c>
      <c r="O39" s="14">
        <v>0.41</v>
      </c>
      <c r="P39" s="12">
        <f t="shared" si="7"/>
        <v>2297126.829268293</v>
      </c>
      <c r="Q39" s="15">
        <f t="shared" si="8"/>
        <v>52.734775694864396</v>
      </c>
      <c r="R39" s="15">
        <f t="shared" si="9"/>
        <v>13.750027996147733</v>
      </c>
      <c r="S39" s="10" t="s">
        <v>24</v>
      </c>
    </row>
    <row r="40" spans="1:19" x14ac:dyDescent="0.25">
      <c r="A40" s="10" t="s">
        <v>655</v>
      </c>
      <c r="B40" s="10" t="s">
        <v>656</v>
      </c>
      <c r="C40" s="10" t="s">
        <v>646</v>
      </c>
      <c r="D40" s="11">
        <v>45719</v>
      </c>
      <c r="E40" s="12">
        <v>2300000</v>
      </c>
      <c r="F40" s="10" t="s">
        <v>22</v>
      </c>
      <c r="G40" s="10" t="s">
        <v>23</v>
      </c>
      <c r="H40" s="12">
        <v>2300000</v>
      </c>
      <c r="I40" s="12">
        <v>858300</v>
      </c>
      <c r="J40" s="13">
        <f t="shared" si="5"/>
        <v>37.317391304347822</v>
      </c>
      <c r="K40" s="12">
        <v>1716602</v>
      </c>
      <c r="L40" s="12">
        <f>H40-1287808</f>
        <v>1012192</v>
      </c>
      <c r="M40" s="12">
        <v>428794</v>
      </c>
      <c r="N40" s="12">
        <f t="shared" si="6"/>
        <v>460000</v>
      </c>
      <c r="O40" s="14">
        <v>1.25</v>
      </c>
      <c r="P40" s="12">
        <f t="shared" si="7"/>
        <v>809753.59999999998</v>
      </c>
      <c r="Q40" s="15">
        <f t="shared" si="8"/>
        <v>18.589384756657484</v>
      </c>
      <c r="R40" s="15">
        <f t="shared" si="9"/>
        <v>7.8750045913682278</v>
      </c>
      <c r="S40" s="10" t="s">
        <v>24</v>
      </c>
    </row>
    <row r="41" spans="1:19" ht="15.75" thickBot="1" x14ac:dyDescent="0.3">
      <c r="A41" s="16"/>
      <c r="B41" s="16"/>
      <c r="C41" s="16"/>
      <c r="D41" s="17"/>
      <c r="E41" s="18"/>
      <c r="F41" s="16"/>
      <c r="G41" s="16"/>
      <c r="H41" s="18"/>
      <c r="I41" s="18"/>
      <c r="J41" s="19"/>
      <c r="K41" s="18"/>
      <c r="L41" s="18">
        <f>AVERAGE(L35:L40)</f>
        <v>689314.66666666663</v>
      </c>
      <c r="M41" s="18">
        <f>AVERAGE(M35:M40)</f>
        <v>294021</v>
      </c>
      <c r="N41" s="18">
        <f>AVERAGE(N35:N40)</f>
        <v>269120.83333333331</v>
      </c>
      <c r="O41" s="20"/>
      <c r="P41" s="18"/>
      <c r="Q41" s="21">
        <f>AVERAGE(Q35:Q40)</f>
        <v>28.452821448334223</v>
      </c>
      <c r="R41" s="21">
        <f>AVERAGE(R35:R40)</f>
        <v>11.69504539590406</v>
      </c>
      <c r="S41" s="16"/>
    </row>
    <row r="42" spans="1:19" ht="15.75" thickTop="1" x14ac:dyDescent="0.25">
      <c r="A42" s="10"/>
      <c r="B42" s="10"/>
      <c r="C42" s="10"/>
      <c r="D42" s="11"/>
      <c r="E42" s="12"/>
      <c r="F42" s="10"/>
      <c r="G42" s="10"/>
      <c r="H42" s="12"/>
      <c r="I42" s="12"/>
      <c r="J42" s="13"/>
      <c r="K42" s="12"/>
      <c r="L42" s="12"/>
      <c r="M42" s="12"/>
      <c r="N42" s="12"/>
      <c r="O42" s="14"/>
      <c r="P42" s="12"/>
      <c r="Q42" s="15"/>
      <c r="R42" s="15"/>
      <c r="S42" s="10"/>
    </row>
    <row r="43" spans="1:19" x14ac:dyDescent="0.25">
      <c r="A43" s="10"/>
      <c r="B43" s="10"/>
      <c r="C43" s="10"/>
      <c r="D43" s="11"/>
      <c r="E43" s="12"/>
      <c r="F43" s="10"/>
      <c r="G43" s="10"/>
      <c r="H43" s="12"/>
      <c r="I43" s="12"/>
      <c r="J43" s="13"/>
      <c r="K43" s="12"/>
      <c r="L43" s="12"/>
      <c r="M43" s="12"/>
      <c r="N43" s="12"/>
      <c r="O43" s="14"/>
      <c r="P43" s="12"/>
      <c r="Q43" s="15"/>
      <c r="R43" s="15"/>
      <c r="S43" s="10"/>
    </row>
    <row r="44" spans="1:19" x14ac:dyDescent="0.25">
      <c r="A44" s="10" t="s">
        <v>657</v>
      </c>
      <c r="B44" s="10" t="s">
        <v>658</v>
      </c>
      <c r="C44" s="10" t="s">
        <v>659</v>
      </c>
      <c r="D44" s="11">
        <v>45657</v>
      </c>
      <c r="E44" s="12">
        <v>207500</v>
      </c>
      <c r="F44" s="10" t="s">
        <v>29</v>
      </c>
      <c r="G44" s="10" t="s">
        <v>23</v>
      </c>
      <c r="H44" s="12">
        <v>207500</v>
      </c>
      <c r="I44" s="12">
        <v>111670</v>
      </c>
      <c r="J44" s="13">
        <f t="shared" ref="J44:J49" si="10">I44/H44*100</f>
        <v>53.816867469879512</v>
      </c>
      <c r="K44" s="12">
        <v>223339</v>
      </c>
      <c r="L44" s="12">
        <f>H44-168339</f>
        <v>39161</v>
      </c>
      <c r="M44" s="12">
        <v>55000</v>
      </c>
      <c r="N44" s="12">
        <f t="shared" ref="N44:N49" si="11">E44*0.2</f>
        <v>41500</v>
      </c>
      <c r="O44" s="14">
        <v>1</v>
      </c>
      <c r="P44" s="12">
        <f t="shared" ref="P44:P49" si="12">L44/O44</f>
        <v>39161</v>
      </c>
      <c r="Q44" s="15">
        <f t="shared" ref="Q44:Q49" si="13">L44/O44/43560</f>
        <v>0.89901285583103763</v>
      </c>
      <c r="R44" s="15">
        <f t="shared" ref="R44:R49" si="14">M44/O44/43560</f>
        <v>1.2626262626262625</v>
      </c>
      <c r="S44" s="10" t="s">
        <v>97</v>
      </c>
    </row>
    <row r="45" spans="1:19" x14ac:dyDescent="0.25">
      <c r="A45" s="10" t="s">
        <v>660</v>
      </c>
      <c r="B45" s="10" t="s">
        <v>661</v>
      </c>
      <c r="C45" s="10" t="s">
        <v>659</v>
      </c>
      <c r="D45" s="11">
        <v>45268</v>
      </c>
      <c r="E45" s="12">
        <v>255000</v>
      </c>
      <c r="F45" s="10" t="s">
        <v>29</v>
      </c>
      <c r="G45" s="10" t="s">
        <v>23</v>
      </c>
      <c r="H45" s="12">
        <v>255000</v>
      </c>
      <c r="I45" s="12">
        <v>103250</v>
      </c>
      <c r="J45" s="13">
        <f t="shared" si="10"/>
        <v>40.490196078431374</v>
      </c>
      <c r="K45" s="12">
        <v>206505</v>
      </c>
      <c r="L45" s="12">
        <f>H45-151505</f>
        <v>103495</v>
      </c>
      <c r="M45" s="12">
        <v>55000</v>
      </c>
      <c r="N45" s="12">
        <f t="shared" si="11"/>
        <v>51000</v>
      </c>
      <c r="O45" s="14">
        <v>1</v>
      </c>
      <c r="P45" s="12">
        <f t="shared" si="12"/>
        <v>103495</v>
      </c>
      <c r="Q45" s="15">
        <f t="shared" si="13"/>
        <v>2.3759182736455462</v>
      </c>
      <c r="R45" s="15">
        <f t="shared" si="14"/>
        <v>1.2626262626262625</v>
      </c>
      <c r="S45" s="10" t="s">
        <v>97</v>
      </c>
    </row>
    <row r="46" spans="1:19" x14ac:dyDescent="0.25">
      <c r="A46" s="10" t="s">
        <v>662</v>
      </c>
      <c r="B46" s="10" t="s">
        <v>663</v>
      </c>
      <c r="C46" s="10" t="s">
        <v>659</v>
      </c>
      <c r="D46" s="11">
        <v>45583</v>
      </c>
      <c r="E46" s="12">
        <v>305000</v>
      </c>
      <c r="F46" s="10" t="s">
        <v>22</v>
      </c>
      <c r="G46" s="10" t="s">
        <v>23</v>
      </c>
      <c r="H46" s="12">
        <v>305000</v>
      </c>
      <c r="I46" s="12">
        <v>103250</v>
      </c>
      <c r="J46" s="13">
        <f t="shared" si="10"/>
        <v>33.852459016393446</v>
      </c>
      <c r="K46" s="12">
        <v>206505</v>
      </c>
      <c r="L46" s="12">
        <f>H46-151505</f>
        <v>153495</v>
      </c>
      <c r="M46" s="12">
        <v>55000</v>
      </c>
      <c r="N46" s="12">
        <f t="shared" si="11"/>
        <v>61000</v>
      </c>
      <c r="O46" s="14">
        <v>1</v>
      </c>
      <c r="P46" s="12">
        <f t="shared" si="12"/>
        <v>153495</v>
      </c>
      <c r="Q46" s="15">
        <f t="shared" si="13"/>
        <v>3.5237603305785123</v>
      </c>
      <c r="R46" s="15">
        <f t="shared" si="14"/>
        <v>1.2626262626262625</v>
      </c>
      <c r="S46" s="10" t="s">
        <v>97</v>
      </c>
    </row>
    <row r="47" spans="1:19" x14ac:dyDescent="0.25">
      <c r="A47" s="10" t="s">
        <v>664</v>
      </c>
      <c r="B47" s="10" t="s">
        <v>665</v>
      </c>
      <c r="C47" s="10" t="s">
        <v>659</v>
      </c>
      <c r="D47" s="11">
        <v>45450</v>
      </c>
      <c r="E47" s="12">
        <v>257500</v>
      </c>
      <c r="F47" s="10" t="s">
        <v>29</v>
      </c>
      <c r="G47" s="10" t="s">
        <v>23</v>
      </c>
      <c r="H47" s="12">
        <v>257500</v>
      </c>
      <c r="I47" s="12">
        <v>104200</v>
      </c>
      <c r="J47" s="13">
        <f t="shared" si="10"/>
        <v>40.466019417475728</v>
      </c>
      <c r="K47" s="12">
        <v>208396</v>
      </c>
      <c r="L47" s="12">
        <f>H47-153396</f>
        <v>104104</v>
      </c>
      <c r="M47" s="12">
        <v>55000</v>
      </c>
      <c r="N47" s="12">
        <f t="shared" si="11"/>
        <v>51500</v>
      </c>
      <c r="O47" s="14">
        <v>1</v>
      </c>
      <c r="P47" s="12">
        <f t="shared" si="12"/>
        <v>104104</v>
      </c>
      <c r="Q47" s="15">
        <f t="shared" si="13"/>
        <v>2.38989898989899</v>
      </c>
      <c r="R47" s="15">
        <f t="shared" si="14"/>
        <v>1.2626262626262625</v>
      </c>
      <c r="S47" s="10" t="s">
        <v>97</v>
      </c>
    </row>
    <row r="48" spans="1:19" x14ac:dyDescent="0.25">
      <c r="A48" s="10" t="s">
        <v>666</v>
      </c>
      <c r="B48" s="10" t="s">
        <v>667</v>
      </c>
      <c r="C48" s="10" t="s">
        <v>659</v>
      </c>
      <c r="D48" s="11">
        <v>45644</v>
      </c>
      <c r="E48" s="12">
        <v>225000</v>
      </c>
      <c r="F48" s="10" t="s">
        <v>29</v>
      </c>
      <c r="G48" s="10" t="s">
        <v>23</v>
      </c>
      <c r="H48" s="12">
        <v>225000</v>
      </c>
      <c r="I48" s="12">
        <v>111670</v>
      </c>
      <c r="J48" s="13">
        <f t="shared" si="10"/>
        <v>49.63111111111111</v>
      </c>
      <c r="K48" s="12">
        <v>223339</v>
      </c>
      <c r="L48" s="12">
        <f>H48-168339</f>
        <v>56661</v>
      </c>
      <c r="M48" s="12">
        <v>55000</v>
      </c>
      <c r="N48" s="12">
        <f t="shared" si="11"/>
        <v>45000</v>
      </c>
      <c r="O48" s="14">
        <v>1</v>
      </c>
      <c r="P48" s="12">
        <f t="shared" si="12"/>
        <v>56661</v>
      </c>
      <c r="Q48" s="15">
        <f t="shared" si="13"/>
        <v>1.3007575757575758</v>
      </c>
      <c r="R48" s="15">
        <f t="shared" si="14"/>
        <v>1.2626262626262625</v>
      </c>
      <c r="S48" s="10" t="s">
        <v>97</v>
      </c>
    </row>
    <row r="49" spans="1:19" x14ac:dyDescent="0.25">
      <c r="A49" s="10" t="s">
        <v>668</v>
      </c>
      <c r="B49" s="10" t="s">
        <v>669</v>
      </c>
      <c r="C49" s="10" t="s">
        <v>659</v>
      </c>
      <c r="D49" s="11">
        <v>45198</v>
      </c>
      <c r="E49" s="12">
        <v>200000</v>
      </c>
      <c r="F49" s="10" t="s">
        <v>29</v>
      </c>
      <c r="G49" s="10" t="s">
        <v>23</v>
      </c>
      <c r="H49" s="12">
        <v>200000</v>
      </c>
      <c r="I49" s="12">
        <v>103250</v>
      </c>
      <c r="J49" s="13">
        <f t="shared" si="10"/>
        <v>51.625</v>
      </c>
      <c r="K49" s="12">
        <v>206505</v>
      </c>
      <c r="L49" s="12">
        <f>H49-151505</f>
        <v>48495</v>
      </c>
      <c r="M49" s="12">
        <v>55000</v>
      </c>
      <c r="N49" s="12">
        <f t="shared" si="11"/>
        <v>40000</v>
      </c>
      <c r="O49" s="14">
        <v>1</v>
      </c>
      <c r="P49" s="12">
        <f t="shared" si="12"/>
        <v>48495</v>
      </c>
      <c r="Q49" s="15">
        <f t="shared" si="13"/>
        <v>1.1132920110192837</v>
      </c>
      <c r="R49" s="15">
        <f t="shared" si="14"/>
        <v>1.2626262626262625</v>
      </c>
      <c r="S49" s="10" t="s">
        <v>97</v>
      </c>
    </row>
    <row r="50" spans="1:19" ht="15.75" thickBot="1" x14ac:dyDescent="0.3">
      <c r="A50" s="16"/>
      <c r="B50" s="16"/>
      <c r="C50" s="16"/>
      <c r="D50" s="17"/>
      <c r="E50" s="18"/>
      <c r="F50" s="16"/>
      <c r="G50" s="16"/>
      <c r="H50" s="18"/>
      <c r="I50" s="18"/>
      <c r="J50" s="19"/>
      <c r="K50" s="18"/>
      <c r="L50" s="18">
        <f>AVERAGE(L44:L49)</f>
        <v>84235.166666666672</v>
      </c>
      <c r="M50" s="18">
        <f>AVERAGE(M44:M49)</f>
        <v>55000</v>
      </c>
      <c r="N50" s="18">
        <f>AVERAGE(N44:N49)</f>
        <v>48333.333333333336</v>
      </c>
      <c r="O50" s="20"/>
      <c r="P50" s="18"/>
      <c r="Q50" s="21">
        <f>AVERAGE(Q44:Q49)</f>
        <v>1.9337733394551577</v>
      </c>
      <c r="R50" s="21">
        <f>AVERAGE(R44:R49)</f>
        <v>1.2626262626262628</v>
      </c>
      <c r="S50" s="16"/>
    </row>
    <row r="51" spans="1:19" ht="15.75" thickTop="1" x14ac:dyDescent="0.25">
      <c r="A51" s="10"/>
      <c r="B51" s="10"/>
      <c r="C51" s="10"/>
      <c r="D51" s="11"/>
      <c r="E51" s="12"/>
      <c r="F51" s="10"/>
      <c r="G51" s="10"/>
      <c r="H51" s="12"/>
      <c r="I51" s="12"/>
      <c r="J51" s="13"/>
      <c r="K51" s="12"/>
      <c r="L51" s="12"/>
      <c r="M51" s="12"/>
      <c r="N51" s="12"/>
      <c r="O51" s="14"/>
      <c r="P51" s="12"/>
      <c r="Q51" s="15"/>
      <c r="R51" s="15"/>
      <c r="S51" s="10"/>
    </row>
    <row r="52" spans="1:19" x14ac:dyDescent="0.25">
      <c r="A52" s="10"/>
      <c r="B52" s="10"/>
      <c r="C52" s="10"/>
      <c r="D52" s="11"/>
      <c r="E52" s="12"/>
      <c r="F52" s="10"/>
      <c r="G52" s="10"/>
      <c r="H52" s="12"/>
      <c r="I52" s="12"/>
      <c r="J52" s="13"/>
      <c r="K52" s="12"/>
      <c r="L52" s="12"/>
      <c r="M52" s="12"/>
      <c r="N52" s="12"/>
      <c r="O52" s="14"/>
      <c r="P52" s="12"/>
      <c r="Q52" s="15"/>
      <c r="R52" s="15"/>
      <c r="S52" s="10"/>
    </row>
    <row r="53" spans="1:19" x14ac:dyDescent="0.25">
      <c r="A53" s="10" t="s">
        <v>670</v>
      </c>
      <c r="B53" s="10" t="s">
        <v>671</v>
      </c>
      <c r="C53" s="10" t="s">
        <v>672</v>
      </c>
      <c r="D53" s="11">
        <v>45160</v>
      </c>
      <c r="E53" s="12">
        <v>229000</v>
      </c>
      <c r="F53" s="10" t="s">
        <v>22</v>
      </c>
      <c r="G53" s="10" t="s">
        <v>23</v>
      </c>
      <c r="H53" s="12">
        <v>229000</v>
      </c>
      <c r="I53" s="12">
        <v>91770</v>
      </c>
      <c r="J53" s="13">
        <f t="shared" ref="J53:J63" si="15">I53/H53*100</f>
        <v>40.074235807860262</v>
      </c>
      <c r="K53" s="12">
        <v>183539</v>
      </c>
      <c r="L53" s="12">
        <f>H53-133539</f>
        <v>95461</v>
      </c>
      <c r="M53" s="12">
        <v>50000</v>
      </c>
      <c r="N53" s="12">
        <f t="shared" ref="N53:N63" si="16">E53*0.2</f>
        <v>45800</v>
      </c>
      <c r="O53" s="14">
        <v>1</v>
      </c>
      <c r="P53" s="12">
        <f t="shared" ref="P53:P63" si="17">L53/O53</f>
        <v>95461</v>
      </c>
      <c r="Q53" s="15">
        <f t="shared" ref="Q53:Q63" si="18">L53/O53/43560</f>
        <v>2.1914830119375575</v>
      </c>
      <c r="R53" s="15">
        <f t="shared" ref="R53:R63" si="19">M53/O53/43560</f>
        <v>1.1478420569329659</v>
      </c>
      <c r="S53" s="10" t="s">
        <v>97</v>
      </c>
    </row>
    <row r="54" spans="1:19" x14ac:dyDescent="0.25">
      <c r="A54" s="10" t="s">
        <v>673</v>
      </c>
      <c r="B54" s="10" t="s">
        <v>674</v>
      </c>
      <c r="C54" s="10" t="s">
        <v>672</v>
      </c>
      <c r="D54" s="11">
        <v>45489</v>
      </c>
      <c r="E54" s="12">
        <v>191900</v>
      </c>
      <c r="F54" s="10" t="s">
        <v>22</v>
      </c>
      <c r="G54" s="10" t="s">
        <v>23</v>
      </c>
      <c r="H54" s="12">
        <v>191900</v>
      </c>
      <c r="I54" s="12">
        <v>92100</v>
      </c>
      <c r="J54" s="13">
        <f t="shared" si="15"/>
        <v>47.993746743095365</v>
      </c>
      <c r="K54" s="12">
        <v>184205</v>
      </c>
      <c r="L54" s="12">
        <f>H54-134205</f>
        <v>57695</v>
      </c>
      <c r="M54" s="12">
        <v>50000</v>
      </c>
      <c r="N54" s="12">
        <f t="shared" si="16"/>
        <v>38380</v>
      </c>
      <c r="O54" s="14">
        <v>1</v>
      </c>
      <c r="P54" s="12">
        <f t="shared" si="17"/>
        <v>57695</v>
      </c>
      <c r="Q54" s="15">
        <f t="shared" si="18"/>
        <v>1.3244949494949494</v>
      </c>
      <c r="R54" s="15">
        <f t="shared" si="19"/>
        <v>1.1478420569329659</v>
      </c>
      <c r="S54" s="10" t="s">
        <v>97</v>
      </c>
    </row>
    <row r="55" spans="1:19" x14ac:dyDescent="0.25">
      <c r="A55" s="10" t="s">
        <v>675</v>
      </c>
      <c r="B55" s="10" t="s">
        <v>676</v>
      </c>
      <c r="C55" s="10" t="s">
        <v>672</v>
      </c>
      <c r="D55" s="11">
        <v>45411</v>
      </c>
      <c r="E55" s="12">
        <v>185000</v>
      </c>
      <c r="F55" s="10" t="s">
        <v>22</v>
      </c>
      <c r="G55" s="10" t="s">
        <v>23</v>
      </c>
      <c r="H55" s="12">
        <v>185000</v>
      </c>
      <c r="I55" s="12">
        <v>92100</v>
      </c>
      <c r="J55" s="13">
        <f t="shared" si="15"/>
        <v>49.78378378378379</v>
      </c>
      <c r="K55" s="12">
        <v>184197</v>
      </c>
      <c r="L55" s="12">
        <f>H55-134197</f>
        <v>50803</v>
      </c>
      <c r="M55" s="12">
        <v>50000</v>
      </c>
      <c r="N55" s="12">
        <f t="shared" si="16"/>
        <v>37000</v>
      </c>
      <c r="O55" s="14">
        <v>1</v>
      </c>
      <c r="P55" s="12">
        <f t="shared" si="17"/>
        <v>50803</v>
      </c>
      <c r="Q55" s="15">
        <f t="shared" si="18"/>
        <v>1.1662764003673094</v>
      </c>
      <c r="R55" s="15">
        <f t="shared" si="19"/>
        <v>1.1478420569329659</v>
      </c>
      <c r="S55" s="10" t="s">
        <v>97</v>
      </c>
    </row>
    <row r="56" spans="1:19" x14ac:dyDescent="0.25">
      <c r="A56" s="10" t="s">
        <v>677</v>
      </c>
      <c r="B56" s="10" t="s">
        <v>678</v>
      </c>
      <c r="C56" s="10" t="s">
        <v>672</v>
      </c>
      <c r="D56" s="11">
        <v>45681</v>
      </c>
      <c r="E56" s="12">
        <v>185000</v>
      </c>
      <c r="F56" s="10" t="s">
        <v>29</v>
      </c>
      <c r="G56" s="10" t="s">
        <v>23</v>
      </c>
      <c r="H56" s="12">
        <v>185000</v>
      </c>
      <c r="I56" s="12">
        <v>91260</v>
      </c>
      <c r="J56" s="13">
        <f t="shared" si="15"/>
        <v>49.329729729729735</v>
      </c>
      <c r="K56" s="12">
        <v>182510</v>
      </c>
      <c r="L56" s="12">
        <f>H56-132510</f>
        <v>52490</v>
      </c>
      <c r="M56" s="12">
        <v>50000</v>
      </c>
      <c r="N56" s="12">
        <f t="shared" si="16"/>
        <v>37000</v>
      </c>
      <c r="O56" s="14">
        <v>1</v>
      </c>
      <c r="P56" s="12">
        <f t="shared" si="17"/>
        <v>52490</v>
      </c>
      <c r="Q56" s="15">
        <f t="shared" si="18"/>
        <v>1.2050045913682277</v>
      </c>
      <c r="R56" s="15">
        <f t="shared" si="19"/>
        <v>1.1478420569329659</v>
      </c>
      <c r="S56" s="10" t="s">
        <v>97</v>
      </c>
    </row>
    <row r="57" spans="1:19" x14ac:dyDescent="0.25">
      <c r="A57" s="10" t="s">
        <v>679</v>
      </c>
      <c r="B57" s="10" t="s">
        <v>680</v>
      </c>
      <c r="C57" s="10" t="s">
        <v>672</v>
      </c>
      <c r="D57" s="11">
        <v>45596</v>
      </c>
      <c r="E57" s="12">
        <v>185000</v>
      </c>
      <c r="F57" s="10" t="s">
        <v>22</v>
      </c>
      <c r="G57" s="10" t="s">
        <v>23</v>
      </c>
      <c r="H57" s="12">
        <v>185000</v>
      </c>
      <c r="I57" s="12">
        <v>94450</v>
      </c>
      <c r="J57" s="13">
        <f t="shared" si="15"/>
        <v>51.054054054054056</v>
      </c>
      <c r="K57" s="12">
        <v>188898</v>
      </c>
      <c r="L57" s="12">
        <f>H57-138898</f>
        <v>46102</v>
      </c>
      <c r="M57" s="12">
        <v>50000</v>
      </c>
      <c r="N57" s="12">
        <f t="shared" si="16"/>
        <v>37000</v>
      </c>
      <c r="O57" s="14">
        <v>1</v>
      </c>
      <c r="P57" s="12">
        <f t="shared" si="17"/>
        <v>46102</v>
      </c>
      <c r="Q57" s="15">
        <f t="shared" si="18"/>
        <v>1.0583562901744721</v>
      </c>
      <c r="R57" s="15">
        <f t="shared" si="19"/>
        <v>1.1478420569329659</v>
      </c>
      <c r="S57" s="10" t="s">
        <v>97</v>
      </c>
    </row>
    <row r="58" spans="1:19" x14ac:dyDescent="0.25">
      <c r="A58" s="10" t="s">
        <v>681</v>
      </c>
      <c r="B58" s="10" t="s">
        <v>682</v>
      </c>
      <c r="C58" s="10" t="s">
        <v>672</v>
      </c>
      <c r="D58" s="11">
        <v>45611</v>
      </c>
      <c r="E58" s="12">
        <v>159999</v>
      </c>
      <c r="F58" s="10" t="s">
        <v>22</v>
      </c>
      <c r="G58" s="10" t="s">
        <v>23</v>
      </c>
      <c r="H58" s="12">
        <v>159999</v>
      </c>
      <c r="I58" s="12">
        <v>91260</v>
      </c>
      <c r="J58" s="13">
        <f t="shared" si="15"/>
        <v>57.037856486603047</v>
      </c>
      <c r="K58" s="12">
        <v>182510</v>
      </c>
      <c r="L58" s="12">
        <f>H58-132510</f>
        <v>27489</v>
      </c>
      <c r="M58" s="12">
        <v>50000</v>
      </c>
      <c r="N58" s="12">
        <f t="shared" si="16"/>
        <v>31999.800000000003</v>
      </c>
      <c r="O58" s="14">
        <v>1</v>
      </c>
      <c r="P58" s="12">
        <f t="shared" si="17"/>
        <v>27489</v>
      </c>
      <c r="Q58" s="15">
        <f t="shared" si="18"/>
        <v>0.6310606060606061</v>
      </c>
      <c r="R58" s="15">
        <f t="shared" si="19"/>
        <v>1.1478420569329659</v>
      </c>
      <c r="S58" s="10" t="s">
        <v>97</v>
      </c>
    </row>
    <row r="59" spans="1:19" x14ac:dyDescent="0.25">
      <c r="A59" s="10" t="s">
        <v>683</v>
      </c>
      <c r="B59" s="10" t="s">
        <v>684</v>
      </c>
      <c r="C59" s="10" t="s">
        <v>672</v>
      </c>
      <c r="D59" s="11">
        <v>45622</v>
      </c>
      <c r="E59" s="12">
        <v>201000</v>
      </c>
      <c r="F59" s="10" t="s">
        <v>22</v>
      </c>
      <c r="G59" s="10" t="s">
        <v>23</v>
      </c>
      <c r="H59" s="12">
        <v>201000</v>
      </c>
      <c r="I59" s="12">
        <v>90950</v>
      </c>
      <c r="J59" s="13">
        <f t="shared" si="15"/>
        <v>45.24875621890547</v>
      </c>
      <c r="K59" s="12">
        <v>181895</v>
      </c>
      <c r="L59" s="12">
        <f>H59-131895</f>
        <v>69105</v>
      </c>
      <c r="M59" s="12">
        <v>50000</v>
      </c>
      <c r="N59" s="12">
        <f t="shared" si="16"/>
        <v>40200</v>
      </c>
      <c r="O59" s="14">
        <v>1</v>
      </c>
      <c r="P59" s="12">
        <f t="shared" si="17"/>
        <v>69105</v>
      </c>
      <c r="Q59" s="15">
        <f t="shared" si="18"/>
        <v>1.5864325068870524</v>
      </c>
      <c r="R59" s="15">
        <f t="shared" si="19"/>
        <v>1.1478420569329659</v>
      </c>
      <c r="S59" s="10" t="s">
        <v>97</v>
      </c>
    </row>
    <row r="60" spans="1:19" x14ac:dyDescent="0.25">
      <c r="A60" s="10" t="s">
        <v>685</v>
      </c>
      <c r="B60" s="10" t="s">
        <v>686</v>
      </c>
      <c r="C60" s="10" t="s">
        <v>672</v>
      </c>
      <c r="D60" s="11">
        <v>45447</v>
      </c>
      <c r="E60" s="12">
        <v>190000</v>
      </c>
      <c r="F60" s="10" t="s">
        <v>22</v>
      </c>
      <c r="G60" s="10" t="s">
        <v>23</v>
      </c>
      <c r="H60" s="12">
        <v>190000</v>
      </c>
      <c r="I60" s="12">
        <v>90950</v>
      </c>
      <c r="J60" s="13">
        <f t="shared" si="15"/>
        <v>47.868421052631575</v>
      </c>
      <c r="K60" s="12">
        <v>181895</v>
      </c>
      <c r="L60" s="12">
        <f>H60-131895</f>
        <v>58105</v>
      </c>
      <c r="M60" s="12">
        <v>50000</v>
      </c>
      <c r="N60" s="12">
        <f t="shared" si="16"/>
        <v>38000</v>
      </c>
      <c r="O60" s="14">
        <v>1</v>
      </c>
      <c r="P60" s="12">
        <f t="shared" si="17"/>
        <v>58105</v>
      </c>
      <c r="Q60" s="15">
        <f t="shared" si="18"/>
        <v>1.3339072543617998</v>
      </c>
      <c r="R60" s="15">
        <f t="shared" si="19"/>
        <v>1.1478420569329659</v>
      </c>
      <c r="S60" s="10" t="s">
        <v>97</v>
      </c>
    </row>
    <row r="61" spans="1:19" x14ac:dyDescent="0.25">
      <c r="A61" s="10" t="s">
        <v>687</v>
      </c>
      <c r="B61" s="10" t="s">
        <v>688</v>
      </c>
      <c r="C61" s="10" t="s">
        <v>672</v>
      </c>
      <c r="D61" s="11">
        <v>45299</v>
      </c>
      <c r="E61" s="12">
        <v>190000</v>
      </c>
      <c r="F61" s="10" t="s">
        <v>22</v>
      </c>
      <c r="G61" s="10" t="s">
        <v>23</v>
      </c>
      <c r="H61" s="12">
        <v>190000</v>
      </c>
      <c r="I61" s="12">
        <v>87990</v>
      </c>
      <c r="J61" s="13">
        <f t="shared" si="15"/>
        <v>46.310526315789474</v>
      </c>
      <c r="K61" s="12">
        <v>175988</v>
      </c>
      <c r="L61" s="12">
        <f>H61-125988</f>
        <v>64012</v>
      </c>
      <c r="M61" s="12">
        <v>50000</v>
      </c>
      <c r="N61" s="12">
        <f t="shared" si="16"/>
        <v>38000</v>
      </c>
      <c r="O61" s="14">
        <v>1</v>
      </c>
      <c r="P61" s="12">
        <f t="shared" si="17"/>
        <v>64012</v>
      </c>
      <c r="Q61" s="15">
        <f t="shared" si="18"/>
        <v>1.4695133149678605</v>
      </c>
      <c r="R61" s="15">
        <f t="shared" si="19"/>
        <v>1.1478420569329659</v>
      </c>
      <c r="S61" s="10" t="s">
        <v>97</v>
      </c>
    </row>
    <row r="62" spans="1:19" x14ac:dyDescent="0.25">
      <c r="A62" s="10" t="s">
        <v>689</v>
      </c>
      <c r="B62" s="10" t="s">
        <v>690</v>
      </c>
      <c r="C62" s="10" t="s">
        <v>672</v>
      </c>
      <c r="D62" s="11">
        <v>45301</v>
      </c>
      <c r="E62" s="12">
        <v>165000</v>
      </c>
      <c r="F62" s="10" t="s">
        <v>22</v>
      </c>
      <c r="G62" s="10" t="s">
        <v>23</v>
      </c>
      <c r="H62" s="12">
        <v>165000</v>
      </c>
      <c r="I62" s="12">
        <v>100800</v>
      </c>
      <c r="J62" s="13">
        <f t="shared" si="15"/>
        <v>61.090909090909093</v>
      </c>
      <c r="K62" s="12">
        <v>201598</v>
      </c>
      <c r="L62" s="12">
        <f>H62-146598</f>
        <v>18402</v>
      </c>
      <c r="M62" s="12">
        <v>55000</v>
      </c>
      <c r="N62" s="12">
        <f t="shared" si="16"/>
        <v>33000</v>
      </c>
      <c r="O62" s="14">
        <v>1</v>
      </c>
      <c r="P62" s="12">
        <f t="shared" si="17"/>
        <v>18402</v>
      </c>
      <c r="Q62" s="15">
        <f t="shared" si="18"/>
        <v>0.42245179063360883</v>
      </c>
      <c r="R62" s="15">
        <f t="shared" si="19"/>
        <v>1.2626262626262625</v>
      </c>
      <c r="S62" s="10" t="s">
        <v>97</v>
      </c>
    </row>
    <row r="63" spans="1:19" x14ac:dyDescent="0.25">
      <c r="A63" s="10" t="s">
        <v>691</v>
      </c>
      <c r="B63" s="10" t="s">
        <v>692</v>
      </c>
      <c r="C63" s="10" t="s">
        <v>672</v>
      </c>
      <c r="D63" s="11">
        <v>45209</v>
      </c>
      <c r="E63" s="12">
        <v>210000</v>
      </c>
      <c r="F63" s="10" t="s">
        <v>29</v>
      </c>
      <c r="G63" s="10" t="s">
        <v>23</v>
      </c>
      <c r="H63" s="12">
        <v>210000</v>
      </c>
      <c r="I63" s="12">
        <v>100800</v>
      </c>
      <c r="J63" s="13">
        <f t="shared" si="15"/>
        <v>48</v>
      </c>
      <c r="K63" s="12">
        <v>201598</v>
      </c>
      <c r="L63" s="12">
        <f>H63-146598</f>
        <v>63402</v>
      </c>
      <c r="M63" s="12">
        <v>55000</v>
      </c>
      <c r="N63" s="12">
        <f t="shared" si="16"/>
        <v>42000</v>
      </c>
      <c r="O63" s="14">
        <v>1</v>
      </c>
      <c r="P63" s="12">
        <f t="shared" si="17"/>
        <v>63402</v>
      </c>
      <c r="Q63" s="15">
        <f t="shared" si="18"/>
        <v>1.4555096418732782</v>
      </c>
      <c r="R63" s="15">
        <f t="shared" si="19"/>
        <v>1.2626262626262625</v>
      </c>
      <c r="S63" s="10" t="s">
        <v>97</v>
      </c>
    </row>
    <row r="64" spans="1:19" ht="15.75" thickBot="1" x14ac:dyDescent="0.3">
      <c r="A64" s="16"/>
      <c r="B64" s="16"/>
      <c r="C64" s="16"/>
      <c r="D64" s="17"/>
      <c r="E64" s="18"/>
      <c r="F64" s="16"/>
      <c r="G64" s="16"/>
      <c r="H64" s="18"/>
      <c r="I64" s="18"/>
      <c r="J64" s="19"/>
      <c r="K64" s="18"/>
      <c r="L64" s="18">
        <f>AVERAGE(L53:L63)</f>
        <v>54824.181818181816</v>
      </c>
      <c r="M64" s="18">
        <f>AVERAGE(M53:M63)</f>
        <v>50909.090909090912</v>
      </c>
      <c r="N64" s="18">
        <f>AVERAGE(N53:N63)</f>
        <v>38034.527272727275</v>
      </c>
      <c r="O64" s="20"/>
      <c r="P64" s="18"/>
      <c r="Q64" s="21">
        <f>AVERAGE(Q53:Q63)</f>
        <v>1.2585900325569745</v>
      </c>
      <c r="R64" s="21">
        <f>AVERAGE(R53:R63)</f>
        <v>1.1687119125135654</v>
      </c>
      <c r="S64" s="16"/>
    </row>
    <row r="65" ht="15.75" thickTop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3096-02F4-4E19-9AF9-0FD4C13246E9}">
  <dimension ref="A1:S67"/>
  <sheetViews>
    <sheetView workbookViewId="0">
      <selection activeCell="A62" sqref="A62:XFD66"/>
    </sheetView>
  </sheetViews>
  <sheetFormatPr defaultRowHeight="15" x14ac:dyDescent="0.25"/>
  <cols>
    <col min="1" max="1" width="12.42578125" bestFit="1" customWidth="1"/>
    <col min="2" max="2" width="19" bestFit="1" customWidth="1"/>
    <col min="3" max="3" width="12.5703125" bestFit="1" customWidth="1"/>
    <col min="7" max="7" width="13.140625" bestFit="1" customWidth="1"/>
    <col min="13" max="13" width="10.8554687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180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693</v>
      </c>
      <c r="B2" s="10" t="s">
        <v>694</v>
      </c>
      <c r="C2" s="10" t="s">
        <v>695</v>
      </c>
      <c r="D2" s="11">
        <v>45595</v>
      </c>
      <c r="E2" s="12">
        <v>437000</v>
      </c>
      <c r="F2" s="10" t="s">
        <v>22</v>
      </c>
      <c r="G2" s="10" t="s">
        <v>23</v>
      </c>
      <c r="H2" s="12">
        <v>437000</v>
      </c>
      <c r="I2" s="12">
        <v>178890</v>
      </c>
      <c r="J2" s="13">
        <f>I2/H2*100</f>
        <v>40.935926773455378</v>
      </c>
      <c r="K2" s="12">
        <v>357772</v>
      </c>
      <c r="L2" s="12">
        <f>H2-239615</f>
        <v>197385</v>
      </c>
      <c r="M2" s="12">
        <v>118157</v>
      </c>
      <c r="N2" s="12">
        <f>E2*0.2</f>
        <v>87400</v>
      </c>
      <c r="O2" s="14">
        <v>0.68500000000000005</v>
      </c>
      <c r="P2" s="12">
        <f>L2/O2</f>
        <v>288153.28467153281</v>
      </c>
      <c r="Q2" s="15">
        <f>L2/O2/43560</f>
        <v>6.6150891797872546</v>
      </c>
      <c r="R2" s="15">
        <f>M2/O2/43560</f>
        <v>3.9598707714168895</v>
      </c>
      <c r="S2" s="10" t="s">
        <v>24</v>
      </c>
    </row>
    <row r="3" spans="1:19" x14ac:dyDescent="0.25">
      <c r="A3" s="10" t="s">
        <v>696</v>
      </c>
      <c r="B3" s="10" t="s">
        <v>697</v>
      </c>
      <c r="C3" s="10" t="s">
        <v>695</v>
      </c>
      <c r="D3" s="11">
        <v>45390</v>
      </c>
      <c r="E3" s="12">
        <v>540000</v>
      </c>
      <c r="F3" s="10" t="s">
        <v>29</v>
      </c>
      <c r="G3" s="10" t="s">
        <v>23</v>
      </c>
      <c r="H3" s="12">
        <v>540000</v>
      </c>
      <c r="I3" s="12">
        <v>211700</v>
      </c>
      <c r="J3" s="13">
        <f>I3/H3*100</f>
        <v>39.203703703703702</v>
      </c>
      <c r="K3" s="12">
        <v>423390</v>
      </c>
      <c r="L3" s="12">
        <f>H3-300442</f>
        <v>239558</v>
      </c>
      <c r="M3" s="12">
        <v>122948</v>
      </c>
      <c r="N3" s="12">
        <f>E3*0.2</f>
        <v>108000</v>
      </c>
      <c r="O3" s="14">
        <v>0.72899999999999998</v>
      </c>
      <c r="P3" s="12">
        <f>L3/O3</f>
        <v>328611.79698216735</v>
      </c>
      <c r="Q3" s="15">
        <f>L3/O3/43560</f>
        <v>7.5438888196089842</v>
      </c>
      <c r="R3" s="15">
        <f>M3/O3/43560</f>
        <v>3.8717389633962775</v>
      </c>
      <c r="S3" s="10" t="s">
        <v>24</v>
      </c>
    </row>
    <row r="4" spans="1:19" ht="15.75" thickBot="1" x14ac:dyDescent="0.3">
      <c r="A4" s="16"/>
      <c r="B4" s="16"/>
      <c r="C4" s="16"/>
      <c r="D4" s="17"/>
      <c r="E4" s="18"/>
      <c r="F4" s="16"/>
      <c r="G4" s="16"/>
      <c r="H4" s="18"/>
      <c r="I4" s="18"/>
      <c r="J4" s="19"/>
      <c r="K4" s="18"/>
      <c r="L4" s="18">
        <f>AVERAGE(L2:L3)</f>
        <v>218471.5</v>
      </c>
      <c r="M4" s="18">
        <f>AVERAGE(M2:M3)</f>
        <v>120552.5</v>
      </c>
      <c r="N4" s="18">
        <f>AVERAGE(N2:N3)</f>
        <v>97700</v>
      </c>
      <c r="O4" s="20"/>
      <c r="P4" s="18"/>
      <c r="Q4" s="21">
        <f>AVERAGE(Q2:Q3)</f>
        <v>7.0794889996981194</v>
      </c>
      <c r="R4" s="21">
        <f>AVERAGE(R2:R3)</f>
        <v>3.9158048674065835</v>
      </c>
      <c r="S4" s="16"/>
    </row>
    <row r="5" spans="1:19" ht="15.75" thickTop="1" x14ac:dyDescent="0.25">
      <c r="A5" s="10"/>
      <c r="B5" s="10"/>
      <c r="C5" s="10"/>
      <c r="D5" s="11"/>
      <c r="E5" s="12"/>
      <c r="F5" s="10"/>
      <c r="G5" s="10"/>
      <c r="H5" s="12"/>
      <c r="I5" s="12"/>
      <c r="J5" s="13"/>
      <c r="K5" s="12"/>
      <c r="L5" s="12"/>
      <c r="M5" s="12"/>
      <c r="N5" s="12"/>
      <c r="O5" s="14"/>
      <c r="P5" s="12"/>
      <c r="Q5" s="15"/>
      <c r="R5" s="15"/>
      <c r="S5" s="10"/>
    </row>
    <row r="6" spans="1:19" x14ac:dyDescent="0.25">
      <c r="A6" s="10" t="s">
        <v>698</v>
      </c>
      <c r="B6" s="10" t="s">
        <v>699</v>
      </c>
      <c r="C6" s="10" t="s">
        <v>700</v>
      </c>
      <c r="D6" s="11">
        <v>45117</v>
      </c>
      <c r="E6" s="12">
        <v>733000</v>
      </c>
      <c r="F6" s="10" t="s">
        <v>22</v>
      </c>
      <c r="G6" s="10" t="s">
        <v>23</v>
      </c>
      <c r="H6" s="12">
        <v>733000</v>
      </c>
      <c r="I6" s="12">
        <v>331620</v>
      </c>
      <c r="J6" s="13">
        <f t="shared" ref="J6:J11" si="0">I6/H6*100</f>
        <v>45.241473396998636</v>
      </c>
      <c r="K6" s="12">
        <v>663248</v>
      </c>
      <c r="L6" s="12">
        <f>H6-508675</f>
        <v>224325</v>
      </c>
      <c r="M6" s="12">
        <v>154573</v>
      </c>
      <c r="N6" s="12">
        <f t="shared" ref="N6:N11" si="1">E6*0.2</f>
        <v>146600</v>
      </c>
      <c r="O6" s="14">
        <v>0.73299999999999998</v>
      </c>
      <c r="P6" s="12">
        <f t="shared" ref="P6:P11" si="2">L6/O6</f>
        <v>306036.83492496592</v>
      </c>
      <c r="Q6" s="15">
        <f t="shared" ref="Q6:Q11" si="3">L6/O6/43560</f>
        <v>7.025639001950549</v>
      </c>
      <c r="R6" s="15">
        <f t="shared" ref="R6:R11" si="4">M6/O6/43560</f>
        <v>4.8410747685211284</v>
      </c>
      <c r="S6" s="10" t="s">
        <v>24</v>
      </c>
    </row>
    <row r="7" spans="1:19" x14ac:dyDescent="0.25">
      <c r="A7" s="10" t="s">
        <v>701</v>
      </c>
      <c r="B7" s="10" t="s">
        <v>702</v>
      </c>
      <c r="C7" s="10" t="s">
        <v>700</v>
      </c>
      <c r="D7" s="11">
        <v>45257</v>
      </c>
      <c r="E7" s="12">
        <v>457500</v>
      </c>
      <c r="F7" s="10" t="s">
        <v>22</v>
      </c>
      <c r="G7" s="10" t="s">
        <v>23</v>
      </c>
      <c r="H7" s="12">
        <v>457500</v>
      </c>
      <c r="I7" s="12">
        <v>264260</v>
      </c>
      <c r="J7" s="13">
        <f t="shared" si="0"/>
        <v>57.761748633879783</v>
      </c>
      <c r="K7" s="12">
        <v>528517</v>
      </c>
      <c r="L7" s="12">
        <f>H7-384921</f>
        <v>72579</v>
      </c>
      <c r="M7" s="12">
        <v>143596</v>
      </c>
      <c r="N7" s="12">
        <f t="shared" si="1"/>
        <v>91500</v>
      </c>
      <c r="O7" s="14">
        <v>0.67700000000000005</v>
      </c>
      <c r="P7" s="12">
        <f t="shared" si="2"/>
        <v>107206.79468242245</v>
      </c>
      <c r="Q7" s="15">
        <f t="shared" si="3"/>
        <v>2.461129354509239</v>
      </c>
      <c r="R7" s="15">
        <f t="shared" si="4"/>
        <v>4.8692918170560171</v>
      </c>
      <c r="S7" s="10" t="s">
        <v>24</v>
      </c>
    </row>
    <row r="8" spans="1:19" x14ac:dyDescent="0.25">
      <c r="A8" s="10" t="s">
        <v>703</v>
      </c>
      <c r="B8" s="10" t="s">
        <v>704</v>
      </c>
      <c r="C8" s="10" t="s">
        <v>700</v>
      </c>
      <c r="D8" s="11">
        <v>45469</v>
      </c>
      <c r="E8" s="12">
        <v>491000</v>
      </c>
      <c r="F8" s="10" t="s">
        <v>29</v>
      </c>
      <c r="G8" s="10" t="s">
        <v>23</v>
      </c>
      <c r="H8" s="12">
        <v>491000</v>
      </c>
      <c r="I8" s="12">
        <v>250430</v>
      </c>
      <c r="J8" s="13">
        <f t="shared" si="0"/>
        <v>51.004073319755605</v>
      </c>
      <c r="K8" s="12">
        <v>500857</v>
      </c>
      <c r="L8" s="12">
        <f>H8-372159</f>
        <v>118841</v>
      </c>
      <c r="M8" s="12">
        <v>128698</v>
      </c>
      <c r="N8" s="12">
        <f t="shared" si="1"/>
        <v>98200</v>
      </c>
      <c r="O8" s="14">
        <v>0.60099999999999998</v>
      </c>
      <c r="P8" s="12">
        <f t="shared" si="2"/>
        <v>197738.76871880199</v>
      </c>
      <c r="Q8" s="15">
        <f t="shared" si="3"/>
        <v>4.5394575004316344</v>
      </c>
      <c r="R8" s="15">
        <f t="shared" si="4"/>
        <v>4.9159726137490471</v>
      </c>
      <c r="S8" s="10" t="s">
        <v>24</v>
      </c>
    </row>
    <row r="9" spans="1:19" x14ac:dyDescent="0.25">
      <c r="A9" s="10" t="s">
        <v>705</v>
      </c>
      <c r="B9" s="10" t="s">
        <v>706</v>
      </c>
      <c r="C9" s="10" t="s">
        <v>700</v>
      </c>
      <c r="D9" s="11">
        <v>45656</v>
      </c>
      <c r="E9" s="12">
        <v>569000</v>
      </c>
      <c r="F9" s="10" t="s">
        <v>29</v>
      </c>
      <c r="G9" s="10" t="s">
        <v>23</v>
      </c>
      <c r="H9" s="12">
        <v>569000</v>
      </c>
      <c r="I9" s="12">
        <v>271460</v>
      </c>
      <c r="J9" s="13">
        <f t="shared" si="0"/>
        <v>47.708260105448154</v>
      </c>
      <c r="K9" s="12">
        <v>542926</v>
      </c>
      <c r="L9" s="12">
        <f>H9-430694</f>
        <v>138306</v>
      </c>
      <c r="M9" s="12">
        <v>112232</v>
      </c>
      <c r="N9" s="12">
        <f t="shared" si="1"/>
        <v>113800</v>
      </c>
      <c r="O9" s="14">
        <v>0.51700000000000002</v>
      </c>
      <c r="P9" s="12">
        <f t="shared" si="2"/>
        <v>267516.44100580271</v>
      </c>
      <c r="Q9" s="15">
        <f t="shared" si="3"/>
        <v>6.1413324381497407</v>
      </c>
      <c r="R9" s="15">
        <f t="shared" si="4"/>
        <v>4.9835438968549566</v>
      </c>
      <c r="S9" s="10" t="s">
        <v>24</v>
      </c>
    </row>
    <row r="10" spans="1:19" x14ac:dyDescent="0.25">
      <c r="A10" s="10" t="s">
        <v>707</v>
      </c>
      <c r="B10" s="10" t="s">
        <v>708</v>
      </c>
      <c r="C10" s="10" t="s">
        <v>700</v>
      </c>
      <c r="D10" s="11">
        <v>45229</v>
      </c>
      <c r="E10" s="12">
        <v>525000</v>
      </c>
      <c r="F10" s="10" t="s">
        <v>29</v>
      </c>
      <c r="G10" s="10" t="s">
        <v>23</v>
      </c>
      <c r="H10" s="12">
        <v>525000</v>
      </c>
      <c r="I10" s="12">
        <v>283380</v>
      </c>
      <c r="J10" s="13">
        <f t="shared" si="0"/>
        <v>53.977142857142859</v>
      </c>
      <c r="K10" s="12">
        <v>566750</v>
      </c>
      <c r="L10" s="12">
        <f>H10-450205</f>
        <v>74795</v>
      </c>
      <c r="M10" s="12">
        <v>116545</v>
      </c>
      <c r="N10" s="12">
        <f t="shared" si="1"/>
        <v>105000</v>
      </c>
      <c r="O10" s="14">
        <v>0.53900000000000003</v>
      </c>
      <c r="P10" s="12">
        <f t="shared" si="2"/>
        <v>138766.23376623375</v>
      </c>
      <c r="Q10" s="15">
        <f t="shared" si="3"/>
        <v>3.1856343839814909</v>
      </c>
      <c r="R10" s="15">
        <f t="shared" si="4"/>
        <v>4.9638312625325609</v>
      </c>
      <c r="S10" s="10" t="s">
        <v>24</v>
      </c>
    </row>
    <row r="11" spans="1:19" x14ac:dyDescent="0.25">
      <c r="A11" s="10" t="s">
        <v>709</v>
      </c>
      <c r="B11" s="10" t="s">
        <v>710</v>
      </c>
      <c r="C11" s="10" t="s">
        <v>700</v>
      </c>
      <c r="D11" s="11">
        <v>45244</v>
      </c>
      <c r="E11" s="12">
        <v>424000</v>
      </c>
      <c r="F11" s="10" t="s">
        <v>29</v>
      </c>
      <c r="G11" s="10" t="s">
        <v>23</v>
      </c>
      <c r="H11" s="12">
        <v>424000</v>
      </c>
      <c r="I11" s="12">
        <v>242720</v>
      </c>
      <c r="J11" s="13">
        <f t="shared" si="0"/>
        <v>57.245283018867923</v>
      </c>
      <c r="K11" s="12">
        <v>485444</v>
      </c>
      <c r="L11" s="12">
        <f>H11-365175</f>
        <v>58825</v>
      </c>
      <c r="M11" s="12">
        <v>120269</v>
      </c>
      <c r="N11" s="12">
        <f t="shared" si="1"/>
        <v>84800</v>
      </c>
      <c r="O11" s="14">
        <v>0.55800000000000005</v>
      </c>
      <c r="P11" s="12">
        <f t="shared" si="2"/>
        <v>105421.14695340501</v>
      </c>
      <c r="Q11" s="15">
        <f t="shared" si="3"/>
        <v>2.4201365232645777</v>
      </c>
      <c r="R11" s="15">
        <f t="shared" si="4"/>
        <v>4.9480220912283466</v>
      </c>
      <c r="S11" s="10" t="s">
        <v>24</v>
      </c>
    </row>
    <row r="12" spans="1:19" ht="15.75" thickBot="1" x14ac:dyDescent="0.3">
      <c r="A12" s="16"/>
      <c r="B12" s="16"/>
      <c r="C12" s="16"/>
      <c r="D12" s="17"/>
      <c r="E12" s="18"/>
      <c r="F12" s="16"/>
      <c r="G12" s="16"/>
      <c r="H12" s="18"/>
      <c r="I12" s="18"/>
      <c r="J12" s="19"/>
      <c r="K12" s="18"/>
      <c r="L12" s="18">
        <f>AVERAGE(L6:L11)</f>
        <v>114611.83333333333</v>
      </c>
      <c r="M12" s="18">
        <f>AVERAGE(M6:M11)</f>
        <v>129318.83333333333</v>
      </c>
      <c r="N12" s="18">
        <f>AVERAGE(N6:N11)</f>
        <v>106650</v>
      </c>
      <c r="O12" s="20"/>
      <c r="P12" s="18"/>
      <c r="Q12" s="21">
        <f>AVERAGE(Q6:Q11)</f>
        <v>4.2955548670478718</v>
      </c>
      <c r="R12" s="21">
        <f>AVERAGE(R6:R11)</f>
        <v>4.9202894083236766</v>
      </c>
      <c r="S12" s="16"/>
    </row>
    <row r="13" spans="1:19" ht="15.75" thickTop="1" x14ac:dyDescent="0.25">
      <c r="A13" s="10"/>
      <c r="B13" s="10"/>
      <c r="C13" s="10"/>
      <c r="D13" s="11"/>
      <c r="E13" s="12"/>
      <c r="F13" s="10"/>
      <c r="G13" s="10"/>
      <c r="H13" s="12"/>
      <c r="I13" s="12"/>
      <c r="J13" s="13"/>
      <c r="K13" s="12"/>
      <c r="L13" s="12"/>
      <c r="M13" s="12"/>
      <c r="N13" s="12"/>
      <c r="O13" s="14"/>
      <c r="P13" s="12"/>
      <c r="Q13" s="15"/>
      <c r="R13" s="15"/>
      <c r="S13" s="10"/>
    </row>
    <row r="14" spans="1:19" x14ac:dyDescent="0.25">
      <c r="A14" s="10"/>
      <c r="B14" s="10"/>
      <c r="C14" s="10"/>
      <c r="D14" s="11"/>
      <c r="E14" s="12"/>
      <c r="F14" s="10"/>
      <c r="G14" s="10"/>
      <c r="H14" s="12"/>
      <c r="I14" s="12"/>
      <c r="J14" s="13"/>
      <c r="K14" s="12"/>
      <c r="L14" s="12"/>
      <c r="M14" s="12"/>
      <c r="N14" s="12"/>
      <c r="O14" s="14"/>
      <c r="P14" s="12"/>
      <c r="Q14" s="15"/>
      <c r="R14" s="15"/>
      <c r="S14" s="10"/>
    </row>
    <row r="15" spans="1:19" x14ac:dyDescent="0.25">
      <c r="A15" s="10" t="s">
        <v>711</v>
      </c>
      <c r="B15" s="10" t="s">
        <v>712</v>
      </c>
      <c r="C15" s="10" t="s">
        <v>713</v>
      </c>
      <c r="D15" s="11">
        <v>45702</v>
      </c>
      <c r="E15" s="12">
        <v>810000</v>
      </c>
      <c r="F15" s="10" t="s">
        <v>29</v>
      </c>
      <c r="G15" s="10" t="s">
        <v>23</v>
      </c>
      <c r="H15" s="12">
        <v>810000</v>
      </c>
      <c r="I15" s="12">
        <v>343230</v>
      </c>
      <c r="J15" s="13">
        <f>I15/H15*100</f>
        <v>42.374074074074073</v>
      </c>
      <c r="K15" s="12">
        <v>686451</v>
      </c>
      <c r="L15" s="12">
        <f>H15-504270</f>
        <v>305730</v>
      </c>
      <c r="M15" s="12">
        <v>182181</v>
      </c>
      <c r="N15" s="12">
        <f>E15*0.2</f>
        <v>162000</v>
      </c>
      <c r="O15" s="14">
        <v>0.76100000000000001</v>
      </c>
      <c r="P15" s="12">
        <f>L15/O15</f>
        <v>401747.70039421815</v>
      </c>
      <c r="Q15" s="15">
        <f>L15/O15/43560</f>
        <v>9.2228581357717658</v>
      </c>
      <c r="R15" s="15">
        <f>M15/O15/43560</f>
        <v>5.4957953685704251</v>
      </c>
      <c r="S15" s="10" t="s">
        <v>24</v>
      </c>
    </row>
    <row r="16" spans="1:19" x14ac:dyDescent="0.25">
      <c r="A16" s="10" t="s">
        <v>714</v>
      </c>
      <c r="B16" s="10" t="s">
        <v>715</v>
      </c>
      <c r="C16" s="10" t="s">
        <v>713</v>
      </c>
      <c r="D16" s="11">
        <v>45113</v>
      </c>
      <c r="E16" s="12">
        <v>1075000</v>
      </c>
      <c r="F16" s="10" t="s">
        <v>22</v>
      </c>
      <c r="G16" s="10" t="s">
        <v>23</v>
      </c>
      <c r="H16" s="12">
        <v>1075000</v>
      </c>
      <c r="I16" s="12">
        <v>562750</v>
      </c>
      <c r="J16" s="13">
        <f>I16/H16*100</f>
        <v>52.348837209302324</v>
      </c>
      <c r="K16" s="12">
        <v>1125503</v>
      </c>
      <c r="L16" s="12">
        <f>H16-960846</f>
        <v>114154</v>
      </c>
      <c r="M16" s="12">
        <v>164657</v>
      </c>
      <c r="N16" s="12">
        <f>E16*0.2</f>
        <v>215000</v>
      </c>
      <c r="O16" s="14">
        <v>1.2250000000000001</v>
      </c>
      <c r="P16" s="12">
        <f>L16/O16</f>
        <v>93186.938775510192</v>
      </c>
      <c r="Q16" s="15">
        <f>L16/O16/43560</f>
        <v>2.1392777496673596</v>
      </c>
      <c r="R16" s="15">
        <f>M16/O16/43560</f>
        <v>3.0857180337699814</v>
      </c>
      <c r="S16" s="10" t="s">
        <v>24</v>
      </c>
    </row>
    <row r="17" spans="1:19" x14ac:dyDescent="0.25">
      <c r="A17" s="10" t="s">
        <v>716</v>
      </c>
      <c r="B17" s="10" t="s">
        <v>717</v>
      </c>
      <c r="C17" s="10" t="s">
        <v>713</v>
      </c>
      <c r="D17" s="11">
        <v>45600</v>
      </c>
      <c r="E17" s="12">
        <v>950000</v>
      </c>
      <c r="F17" s="10" t="s">
        <v>29</v>
      </c>
      <c r="G17" s="10" t="s">
        <v>23</v>
      </c>
      <c r="H17" s="12">
        <v>950000</v>
      </c>
      <c r="I17" s="12">
        <v>576350</v>
      </c>
      <c r="J17" s="13">
        <f>I17/H17*100</f>
        <v>60.668421052631579</v>
      </c>
      <c r="K17" s="12">
        <v>1152693</v>
      </c>
      <c r="L17" s="12">
        <f>H17-965886</f>
        <v>-15886</v>
      </c>
      <c r="M17" s="12">
        <v>186807</v>
      </c>
      <c r="N17" s="12">
        <f>E17*0.2</f>
        <v>190000</v>
      </c>
      <c r="O17" s="14">
        <v>0.82</v>
      </c>
      <c r="P17" s="12">
        <f>L17/O17</f>
        <v>-19373.17073170732</v>
      </c>
      <c r="Q17" s="15">
        <f>L17/O17/43560</f>
        <v>-0.44474680283992929</v>
      </c>
      <c r="R17" s="15">
        <f>M17/O17/43560</f>
        <v>5.2298763690116239</v>
      </c>
      <c r="S17" s="10" t="s">
        <v>24</v>
      </c>
    </row>
    <row r="18" spans="1:19" ht="15.75" thickBot="1" x14ac:dyDescent="0.3">
      <c r="A18" s="16"/>
      <c r="B18" s="16"/>
      <c r="C18" s="16"/>
      <c r="D18" s="17"/>
      <c r="E18" s="18"/>
      <c r="F18" s="16"/>
      <c r="G18" s="16"/>
      <c r="H18" s="18"/>
      <c r="I18" s="18"/>
      <c r="J18" s="19"/>
      <c r="K18" s="18"/>
      <c r="L18" s="18">
        <f>AVERAGE(L15:L17)</f>
        <v>134666</v>
      </c>
      <c r="M18" s="18">
        <f>AVERAGE(M15:M17)</f>
        <v>177881.66666666666</v>
      </c>
      <c r="N18" s="18">
        <f>AVERAGE(N15:N17)</f>
        <v>189000</v>
      </c>
      <c r="O18" s="20"/>
      <c r="P18" s="18">
        <f>AVERAGE(P15:P17)</f>
        <v>158520.48947934035</v>
      </c>
      <c r="Q18" s="21">
        <f>AVERAGE(Q15:Q17)</f>
        <v>3.6391296941997315</v>
      </c>
      <c r="R18" s="21">
        <f>AVERAGE(R15:R17)</f>
        <v>4.6037965904506768</v>
      </c>
      <c r="S18" s="16"/>
    </row>
    <row r="19" spans="1:19" ht="15.75" thickTop="1" x14ac:dyDescent="0.25">
      <c r="A19" s="10"/>
      <c r="B19" s="10"/>
      <c r="C19" s="10"/>
      <c r="D19" s="11"/>
      <c r="E19" s="12"/>
      <c r="F19" s="10"/>
      <c r="G19" s="10"/>
      <c r="H19" s="12"/>
      <c r="I19" s="12"/>
      <c r="J19" s="13"/>
      <c r="K19" s="12"/>
      <c r="L19" s="12"/>
      <c r="M19" s="12"/>
      <c r="N19" s="12"/>
      <c r="O19" s="14"/>
      <c r="P19" s="12"/>
      <c r="Q19" s="15"/>
      <c r="R19" s="15"/>
      <c r="S19" s="10"/>
    </row>
    <row r="20" spans="1:19" x14ac:dyDescent="0.25">
      <c r="A20" s="10"/>
      <c r="B20" s="10"/>
      <c r="C20" s="10"/>
      <c r="D20" s="11"/>
      <c r="E20" s="12"/>
      <c r="F20" s="10"/>
      <c r="G20" s="10"/>
      <c r="H20" s="12"/>
      <c r="I20" s="12"/>
      <c r="J20" s="13"/>
      <c r="K20" s="12"/>
      <c r="L20" s="12"/>
      <c r="M20" s="12"/>
      <c r="N20" s="12"/>
      <c r="O20" s="14"/>
      <c r="P20" s="12"/>
      <c r="Q20" s="15"/>
      <c r="R20" s="15"/>
      <c r="S20" s="10"/>
    </row>
    <row r="21" spans="1:19" x14ac:dyDescent="0.25">
      <c r="A21" s="10" t="s">
        <v>718</v>
      </c>
      <c r="B21" s="10" t="s">
        <v>719</v>
      </c>
      <c r="C21" s="10" t="s">
        <v>720</v>
      </c>
      <c r="D21" s="11">
        <v>45072</v>
      </c>
      <c r="E21" s="12">
        <v>3735000</v>
      </c>
      <c r="F21" s="10" t="s">
        <v>22</v>
      </c>
      <c r="G21" s="10" t="s">
        <v>23</v>
      </c>
      <c r="H21" s="12">
        <v>3735000</v>
      </c>
      <c r="I21" s="12">
        <v>1759200</v>
      </c>
      <c r="J21" s="13">
        <f>I21/H21*100</f>
        <v>47.100401606425699</v>
      </c>
      <c r="K21" s="12">
        <v>3518407</v>
      </c>
      <c r="L21" s="12">
        <f>H21-2940714</f>
        <v>794286</v>
      </c>
      <c r="M21" s="12">
        <v>577693</v>
      </c>
      <c r="N21" s="12">
        <f>E21*0.2</f>
        <v>747000</v>
      </c>
      <c r="O21" s="14">
        <v>1.304</v>
      </c>
      <c r="P21" s="12">
        <f>L21/O21</f>
        <v>609115.03067484661</v>
      </c>
      <c r="Q21" s="15">
        <f>L21/O21/43560</f>
        <v>13.983356994372052</v>
      </c>
      <c r="R21" s="15">
        <f>M21/O21/43560</f>
        <v>10.170250328156072</v>
      </c>
      <c r="S21" s="10" t="s">
        <v>97</v>
      </c>
    </row>
    <row r="22" spans="1:19" x14ac:dyDescent="0.25">
      <c r="A22" s="10" t="s">
        <v>721</v>
      </c>
      <c r="B22" s="10" t="s">
        <v>722</v>
      </c>
      <c r="C22" s="10" t="s">
        <v>720</v>
      </c>
      <c r="D22" s="11">
        <v>45597</v>
      </c>
      <c r="E22" s="12">
        <v>850000</v>
      </c>
      <c r="F22" s="10" t="s">
        <v>22</v>
      </c>
      <c r="G22" s="10" t="s">
        <v>23</v>
      </c>
      <c r="H22" s="12">
        <v>850000</v>
      </c>
      <c r="I22" s="12">
        <v>306480</v>
      </c>
      <c r="J22" s="13">
        <f>I22/H22*100</f>
        <v>36.056470588235292</v>
      </c>
      <c r="K22" s="12">
        <v>612961</v>
      </c>
      <c r="L22" s="12">
        <f>H22-0</f>
        <v>850000</v>
      </c>
      <c r="M22" s="12">
        <v>612961</v>
      </c>
      <c r="N22" s="12">
        <f>E22*0.2</f>
        <v>170000</v>
      </c>
      <c r="O22" s="14">
        <v>0.61299999999999999</v>
      </c>
      <c r="P22" s="12">
        <f>L22/O22</f>
        <v>1386623.1647634585</v>
      </c>
      <c r="Q22" s="15">
        <f>L22/O22/43560</f>
        <v>31.832487712659745</v>
      </c>
      <c r="R22" s="15">
        <f>M22/O22/43560</f>
        <v>22.955380589223093</v>
      </c>
      <c r="S22" s="10" t="s">
        <v>504</v>
      </c>
    </row>
    <row r="23" spans="1:19" ht="15.75" thickBot="1" x14ac:dyDescent="0.3">
      <c r="A23" s="16"/>
      <c r="B23" s="16"/>
      <c r="C23" s="16"/>
      <c r="D23" s="17"/>
      <c r="E23" s="18"/>
      <c r="F23" s="16"/>
      <c r="G23" s="16"/>
      <c r="H23" s="18"/>
      <c r="I23" s="18"/>
      <c r="J23" s="19"/>
      <c r="K23" s="18"/>
      <c r="L23" s="18">
        <f>AVERAGE(L21:L22)</f>
        <v>822143</v>
      </c>
      <c r="M23" s="18">
        <f>AVERAGE(M21:M22)</f>
        <v>595327</v>
      </c>
      <c r="N23" s="18">
        <f>AVERAGE(N21:N22)</f>
        <v>458500</v>
      </c>
      <c r="O23" s="20"/>
      <c r="P23" s="18"/>
      <c r="Q23" s="21">
        <f>AVERAGE(Q21:Q22)</f>
        <v>22.9079223535159</v>
      </c>
      <c r="R23" s="21">
        <f>AVERAGE(R21:R22)</f>
        <v>16.562815458689585</v>
      </c>
      <c r="S23" s="16"/>
    </row>
    <row r="24" spans="1:19" ht="15.75" thickTop="1" x14ac:dyDescent="0.25">
      <c r="A24" s="10"/>
      <c r="B24" s="10"/>
      <c r="C24" s="10"/>
      <c r="D24" s="11"/>
      <c r="E24" s="12"/>
      <c r="F24" s="10"/>
      <c r="G24" s="10"/>
      <c r="H24" s="12"/>
      <c r="I24" s="12"/>
      <c r="J24" s="13"/>
      <c r="K24" s="12"/>
      <c r="L24" s="12"/>
      <c r="M24" s="12"/>
      <c r="N24" s="12"/>
      <c r="O24" s="14"/>
      <c r="P24" s="12"/>
      <c r="Q24" s="15"/>
      <c r="R24" s="15"/>
      <c r="S24" s="10"/>
    </row>
    <row r="25" spans="1:19" x14ac:dyDescent="0.25">
      <c r="A25" s="10"/>
      <c r="B25" s="10"/>
      <c r="C25" s="10"/>
      <c r="D25" s="11"/>
      <c r="E25" s="12"/>
      <c r="F25" s="10"/>
      <c r="G25" s="10"/>
      <c r="H25" s="12"/>
      <c r="I25" s="12"/>
      <c r="J25" s="13"/>
      <c r="K25" s="12"/>
      <c r="L25" s="12"/>
      <c r="M25" s="12"/>
      <c r="N25" s="12"/>
      <c r="O25" s="14"/>
      <c r="P25" s="12"/>
      <c r="Q25" s="15"/>
      <c r="R25" s="15"/>
      <c r="S25" s="10"/>
    </row>
    <row r="26" spans="1:19" x14ac:dyDescent="0.25">
      <c r="A26" s="10"/>
      <c r="B26" s="10"/>
      <c r="C26" s="10"/>
      <c r="D26" s="11"/>
      <c r="E26" s="12"/>
      <c r="F26" s="10"/>
      <c r="G26" s="10"/>
      <c r="H26" s="12"/>
      <c r="I26" s="12"/>
      <c r="J26" s="13"/>
      <c r="K26" s="12"/>
      <c r="L26" s="12"/>
      <c r="M26" s="12"/>
      <c r="N26" s="12"/>
      <c r="O26" s="14"/>
      <c r="P26" s="12"/>
      <c r="Q26" s="15"/>
      <c r="R26" s="15"/>
      <c r="S26" s="10"/>
    </row>
    <row r="27" spans="1:19" x14ac:dyDescent="0.25">
      <c r="A27" s="10" t="s">
        <v>723</v>
      </c>
      <c r="B27" s="10" t="s">
        <v>724</v>
      </c>
      <c r="C27" s="10" t="s">
        <v>725</v>
      </c>
      <c r="D27" s="11">
        <v>45394</v>
      </c>
      <c r="E27" s="12">
        <v>600000</v>
      </c>
      <c r="F27" s="10" t="s">
        <v>726</v>
      </c>
      <c r="G27" s="10" t="s">
        <v>23</v>
      </c>
      <c r="H27" s="12">
        <v>600000</v>
      </c>
      <c r="I27" s="12">
        <v>152340</v>
      </c>
      <c r="J27" s="13">
        <f>I27/H27*100</f>
        <v>25.39</v>
      </c>
      <c r="K27" s="12">
        <v>304680</v>
      </c>
      <c r="L27" s="12">
        <f>H27-0</f>
        <v>600000</v>
      </c>
      <c r="M27" s="12">
        <v>304680</v>
      </c>
      <c r="N27" s="12">
        <f>E27*0.2</f>
        <v>120000</v>
      </c>
      <c r="O27" s="14">
        <v>0.72099999999999997</v>
      </c>
      <c r="P27" s="12">
        <f>L27/O27</f>
        <v>832177.53120665741</v>
      </c>
      <c r="Q27" s="15">
        <f>L27/O27/43560</f>
        <v>19.104167383072944</v>
      </c>
      <c r="R27" s="15">
        <f>M27/O27/43560</f>
        <v>9.7010961971244409</v>
      </c>
      <c r="S27" s="10" t="s">
        <v>504</v>
      </c>
    </row>
    <row r="28" spans="1:19" x14ac:dyDescent="0.25">
      <c r="A28" s="10" t="s">
        <v>727</v>
      </c>
      <c r="B28" s="10" t="s">
        <v>728</v>
      </c>
      <c r="C28" s="10" t="s">
        <v>725</v>
      </c>
      <c r="D28" s="11">
        <v>45078</v>
      </c>
      <c r="E28" s="12">
        <v>2400000</v>
      </c>
      <c r="F28" s="10" t="s">
        <v>29</v>
      </c>
      <c r="G28" s="10" t="s">
        <v>23</v>
      </c>
      <c r="H28" s="12">
        <v>2400000</v>
      </c>
      <c r="I28" s="12">
        <v>1315500</v>
      </c>
      <c r="J28" s="13">
        <f>I28/H28*100</f>
        <v>54.8125</v>
      </c>
      <c r="K28" s="12">
        <v>2631007</v>
      </c>
      <c r="L28" s="12">
        <f>H28-2152664</f>
        <v>247336</v>
      </c>
      <c r="M28" s="12">
        <v>478343</v>
      </c>
      <c r="N28" s="12">
        <f>E28*0.2</f>
        <v>480000</v>
      </c>
      <c r="O28" s="14">
        <v>1.145</v>
      </c>
      <c r="P28" s="12">
        <f>L28/O28</f>
        <v>216013.97379912663</v>
      </c>
      <c r="Q28" s="15">
        <f>L28/O28/43560</f>
        <v>4.9589984802370672</v>
      </c>
      <c r="R28" s="15">
        <f>M28/O28/43560</f>
        <v>9.5906063413010614</v>
      </c>
      <c r="S28" s="10" t="s">
        <v>97</v>
      </c>
    </row>
    <row r="29" spans="1:19" ht="15.75" thickBot="1" x14ac:dyDescent="0.3">
      <c r="A29" s="16"/>
      <c r="B29" s="16"/>
      <c r="C29" s="16"/>
      <c r="D29" s="17"/>
      <c r="E29" s="18"/>
      <c r="F29" s="16"/>
      <c r="G29" s="16"/>
      <c r="H29" s="18"/>
      <c r="I29" s="18"/>
      <c r="J29" s="19"/>
      <c r="K29" s="18"/>
      <c r="L29" s="18">
        <f>AVERAGE(L27:L28)</f>
        <v>423668</v>
      </c>
      <c r="M29" s="18">
        <f>AVERAGE(M27:M28)</f>
        <v>391511.5</v>
      </c>
      <c r="N29" s="18">
        <f>AVERAGE(N27:N28)</f>
        <v>300000</v>
      </c>
      <c r="O29" s="20"/>
      <c r="P29" s="18"/>
      <c r="Q29" s="21">
        <f>AVERAGE(Q27:Q28)</f>
        <v>12.031582931655006</v>
      </c>
      <c r="R29" s="21">
        <f>AVERAGE(R27:R28)</f>
        <v>9.645851269212752</v>
      </c>
      <c r="S29" s="16"/>
    </row>
    <row r="30" spans="1:19" ht="15.75" thickTop="1" x14ac:dyDescent="0.25">
      <c r="A30" s="10"/>
      <c r="B30" s="10"/>
      <c r="C30" s="10"/>
      <c r="D30" s="11"/>
      <c r="E30" s="12"/>
      <c r="F30" s="10"/>
      <c r="G30" s="10"/>
      <c r="H30" s="12"/>
      <c r="I30" s="12"/>
      <c r="J30" s="13"/>
      <c r="K30" s="12"/>
      <c r="L30" s="12"/>
      <c r="M30" s="12"/>
      <c r="N30" s="12"/>
      <c r="O30" s="14"/>
      <c r="P30" s="12"/>
      <c r="Q30" s="15"/>
      <c r="R30" s="15"/>
      <c r="S30" s="10"/>
    </row>
    <row r="31" spans="1:19" x14ac:dyDescent="0.25">
      <c r="A31" s="10"/>
      <c r="B31" s="10"/>
      <c r="C31" s="10"/>
      <c r="D31" s="11"/>
      <c r="E31" s="12"/>
      <c r="F31" s="10"/>
      <c r="G31" s="10"/>
      <c r="H31" s="12"/>
      <c r="I31" s="12"/>
      <c r="J31" s="13"/>
      <c r="K31" s="12"/>
      <c r="L31" s="12"/>
      <c r="M31" s="12"/>
      <c r="N31" s="12"/>
      <c r="O31" s="14"/>
      <c r="P31" s="12"/>
      <c r="Q31" s="15"/>
      <c r="R31" s="15"/>
      <c r="S31" s="10"/>
    </row>
    <row r="32" spans="1:19" x14ac:dyDescent="0.25">
      <c r="A32" s="10" t="s">
        <v>729</v>
      </c>
      <c r="B32" s="10" t="s">
        <v>730</v>
      </c>
      <c r="C32" s="10" t="s">
        <v>731</v>
      </c>
      <c r="D32" s="11">
        <v>45684</v>
      </c>
      <c r="E32" s="12">
        <v>3200000</v>
      </c>
      <c r="F32" s="10" t="s">
        <v>22</v>
      </c>
      <c r="G32" s="10" t="s">
        <v>23</v>
      </c>
      <c r="H32" s="12">
        <v>3200000</v>
      </c>
      <c r="I32" s="12">
        <v>1264810</v>
      </c>
      <c r="J32" s="13">
        <f t="shared" ref="J32:J39" si="5">I32/H32*100</f>
        <v>39.525312499999998</v>
      </c>
      <c r="K32" s="12">
        <v>2529622</v>
      </c>
      <c r="L32" s="12">
        <f>H32-2258505</f>
        <v>941495</v>
      </c>
      <c r="M32" s="12">
        <v>271117</v>
      </c>
      <c r="N32" s="12">
        <f t="shared" ref="N32:N39" si="6">E32*0.2</f>
        <v>640000</v>
      </c>
      <c r="O32" s="14">
        <v>0.38900000000000001</v>
      </c>
      <c r="P32" s="12">
        <f t="shared" ref="P32:P39" si="7">L32/O32</f>
        <v>2420295.6298200511</v>
      </c>
      <c r="Q32" s="15">
        <f t="shared" ref="Q32:Q39" si="8">L32/O32/43560</f>
        <v>55.562342282370317</v>
      </c>
      <c r="R32" s="15">
        <f t="shared" ref="R32:R39" si="9">M32/O32/43560</f>
        <v>15.999974033393055</v>
      </c>
      <c r="S32" s="10" t="s">
        <v>97</v>
      </c>
    </row>
    <row r="33" spans="1:19" x14ac:dyDescent="0.25">
      <c r="A33" s="10" t="s">
        <v>732</v>
      </c>
      <c r="B33" s="10" t="s">
        <v>630</v>
      </c>
      <c r="C33" s="10" t="s">
        <v>731</v>
      </c>
      <c r="D33" s="11">
        <v>45684</v>
      </c>
      <c r="E33" s="12">
        <v>649900</v>
      </c>
      <c r="F33" s="10" t="s">
        <v>22</v>
      </c>
      <c r="G33" s="10" t="s">
        <v>23</v>
      </c>
      <c r="H33" s="12">
        <v>649900</v>
      </c>
      <c r="I33" s="12">
        <v>149670</v>
      </c>
      <c r="J33" s="13">
        <f t="shared" si="5"/>
        <v>23.029696876442529</v>
      </c>
      <c r="K33" s="12">
        <v>299344</v>
      </c>
      <c r="L33" s="12">
        <f>H33-0</f>
        <v>649900</v>
      </c>
      <c r="M33" s="12">
        <v>299344</v>
      </c>
      <c r="N33" s="12">
        <f t="shared" si="6"/>
        <v>129980</v>
      </c>
      <c r="O33" s="14">
        <v>0.42899999999999999</v>
      </c>
      <c r="P33" s="12">
        <f t="shared" si="7"/>
        <v>1514918.414918415</v>
      </c>
      <c r="Q33" s="15">
        <f t="shared" si="8"/>
        <v>34.777741389311636</v>
      </c>
      <c r="R33" s="15">
        <f t="shared" si="9"/>
        <v>16.018630894663954</v>
      </c>
      <c r="S33" s="10" t="s">
        <v>504</v>
      </c>
    </row>
    <row r="34" spans="1:19" x14ac:dyDescent="0.25">
      <c r="A34" s="10" t="s">
        <v>733</v>
      </c>
      <c r="B34" s="10" t="s">
        <v>734</v>
      </c>
      <c r="C34" s="10" t="s">
        <v>731</v>
      </c>
      <c r="D34" s="11">
        <v>45562</v>
      </c>
      <c r="E34" s="12">
        <v>2900000</v>
      </c>
      <c r="F34" s="10" t="s">
        <v>22</v>
      </c>
      <c r="G34" s="10" t="s">
        <v>23</v>
      </c>
      <c r="H34" s="12">
        <v>2900000</v>
      </c>
      <c r="I34" s="12">
        <v>653080</v>
      </c>
      <c r="J34" s="13">
        <f t="shared" si="5"/>
        <v>22.52</v>
      </c>
      <c r="K34" s="12">
        <v>1306158</v>
      </c>
      <c r="L34" s="12">
        <f>H34-888418</f>
        <v>2011582</v>
      </c>
      <c r="M34" s="12">
        <v>417740</v>
      </c>
      <c r="N34" s="12">
        <f t="shared" si="6"/>
        <v>580000</v>
      </c>
      <c r="O34" s="14">
        <v>0.92400000000000004</v>
      </c>
      <c r="P34" s="12">
        <f t="shared" si="7"/>
        <v>2177036.7965367963</v>
      </c>
      <c r="Q34" s="15">
        <f t="shared" si="8"/>
        <v>49.977887891111024</v>
      </c>
      <c r="R34" s="15">
        <f t="shared" si="9"/>
        <v>10.378777940761411</v>
      </c>
      <c r="S34" s="10" t="s">
        <v>97</v>
      </c>
    </row>
    <row r="35" spans="1:19" x14ac:dyDescent="0.25">
      <c r="A35" s="10" t="s">
        <v>735</v>
      </c>
      <c r="B35" s="10" t="s">
        <v>736</v>
      </c>
      <c r="C35" s="10" t="s">
        <v>731</v>
      </c>
      <c r="D35" s="11">
        <v>45420</v>
      </c>
      <c r="E35" s="12">
        <v>2200000</v>
      </c>
      <c r="F35" s="10" t="s">
        <v>726</v>
      </c>
      <c r="G35" s="10" t="s">
        <v>23</v>
      </c>
      <c r="H35" s="12">
        <v>2200000</v>
      </c>
      <c r="I35" s="12">
        <v>864890</v>
      </c>
      <c r="J35" s="13">
        <f t="shared" si="5"/>
        <v>39.313181818181818</v>
      </c>
      <c r="K35" s="12">
        <v>1729782</v>
      </c>
      <c r="L35" s="12">
        <f>H35-1328703</f>
        <v>871297</v>
      </c>
      <c r="M35" s="12">
        <v>401079</v>
      </c>
      <c r="N35" s="12">
        <f t="shared" si="6"/>
        <v>440000</v>
      </c>
      <c r="O35" s="14">
        <v>0.82199999999999995</v>
      </c>
      <c r="P35" s="12">
        <f t="shared" si="7"/>
        <v>1059972.0194647203</v>
      </c>
      <c r="Q35" s="15">
        <f t="shared" si="8"/>
        <v>24.333609262275488</v>
      </c>
      <c r="R35" s="15">
        <f t="shared" si="9"/>
        <v>11.201346577922557</v>
      </c>
      <c r="S35" s="10" t="s">
        <v>97</v>
      </c>
    </row>
    <row r="36" spans="1:19" x14ac:dyDescent="0.25">
      <c r="A36" s="10" t="s">
        <v>737</v>
      </c>
      <c r="B36" s="10" t="s">
        <v>738</v>
      </c>
      <c r="C36" s="10" t="s">
        <v>731</v>
      </c>
      <c r="D36" s="11">
        <v>45583</v>
      </c>
      <c r="E36" s="12">
        <v>1950000</v>
      </c>
      <c r="F36" s="10" t="s">
        <v>29</v>
      </c>
      <c r="G36" s="10" t="s">
        <v>23</v>
      </c>
      <c r="H36" s="12">
        <v>1950000</v>
      </c>
      <c r="I36" s="12">
        <v>890210</v>
      </c>
      <c r="J36" s="13">
        <f t="shared" si="5"/>
        <v>45.65179487179487</v>
      </c>
      <c r="K36" s="12">
        <v>1780410</v>
      </c>
      <c r="L36" s="12">
        <f>H36-1370184</f>
        <v>579816</v>
      </c>
      <c r="M36" s="12">
        <v>410226</v>
      </c>
      <c r="N36" s="12">
        <f t="shared" si="6"/>
        <v>390000</v>
      </c>
      <c r="O36" s="14">
        <v>0.878</v>
      </c>
      <c r="P36" s="12">
        <f t="shared" si="7"/>
        <v>660382.68792710709</v>
      </c>
      <c r="Q36" s="15">
        <f t="shared" si="8"/>
        <v>15.160300457463432</v>
      </c>
      <c r="R36" s="15">
        <f t="shared" si="9"/>
        <v>10.72607416053264</v>
      </c>
      <c r="S36" s="10" t="s">
        <v>97</v>
      </c>
    </row>
    <row r="37" spans="1:19" x14ac:dyDescent="0.25">
      <c r="A37" s="10" t="s">
        <v>739</v>
      </c>
      <c r="B37" s="10" t="s">
        <v>740</v>
      </c>
      <c r="C37" s="10" t="s">
        <v>731</v>
      </c>
      <c r="D37" s="11">
        <v>45321</v>
      </c>
      <c r="E37" s="12">
        <v>1450000</v>
      </c>
      <c r="F37" s="10" t="s">
        <v>22</v>
      </c>
      <c r="G37" s="10" t="s">
        <v>23</v>
      </c>
      <c r="H37" s="12">
        <v>1450000</v>
      </c>
      <c r="I37" s="12">
        <v>760240</v>
      </c>
      <c r="J37" s="13">
        <f t="shared" si="5"/>
        <v>52.430344827586204</v>
      </c>
      <c r="K37" s="12">
        <v>1520478</v>
      </c>
      <c r="L37" s="12">
        <f>H37-1065004</f>
        <v>384996</v>
      </c>
      <c r="M37" s="12">
        <v>455474</v>
      </c>
      <c r="N37" s="12">
        <f t="shared" si="6"/>
        <v>290000</v>
      </c>
      <c r="O37" s="14">
        <v>1.155</v>
      </c>
      <c r="P37" s="12">
        <f t="shared" si="7"/>
        <v>333329.87012987013</v>
      </c>
      <c r="Q37" s="15">
        <f t="shared" si="8"/>
        <v>7.6522008753413715</v>
      </c>
      <c r="R37" s="15">
        <f t="shared" si="9"/>
        <v>9.0530253340170681</v>
      </c>
      <c r="S37" s="10" t="s">
        <v>24</v>
      </c>
    </row>
    <row r="38" spans="1:19" x14ac:dyDescent="0.25">
      <c r="A38" s="10" t="s">
        <v>741</v>
      </c>
      <c r="B38" s="10" t="s">
        <v>742</v>
      </c>
      <c r="C38" s="10" t="s">
        <v>731</v>
      </c>
      <c r="D38" s="11">
        <v>45198</v>
      </c>
      <c r="E38" s="12">
        <v>1540000</v>
      </c>
      <c r="F38" s="10" t="s">
        <v>29</v>
      </c>
      <c r="G38" s="10" t="s">
        <v>23</v>
      </c>
      <c r="H38" s="12">
        <v>1540000</v>
      </c>
      <c r="I38" s="12">
        <v>788470</v>
      </c>
      <c r="J38" s="13">
        <f t="shared" si="5"/>
        <v>51.199350649350649</v>
      </c>
      <c r="K38" s="12">
        <v>1576945</v>
      </c>
      <c r="L38" s="12">
        <f>H38-1098343</f>
        <v>441657</v>
      </c>
      <c r="M38" s="12">
        <v>478602</v>
      </c>
      <c r="N38" s="12">
        <f t="shared" si="6"/>
        <v>308000</v>
      </c>
      <c r="O38" s="14">
        <v>1.958</v>
      </c>
      <c r="P38" s="12">
        <f t="shared" si="7"/>
        <v>225565.37282941779</v>
      </c>
      <c r="Q38" s="15">
        <f t="shared" si="8"/>
        <v>5.1782684304274058</v>
      </c>
      <c r="R38" s="15">
        <f t="shared" si="9"/>
        <v>5.6114351801045093</v>
      </c>
      <c r="S38" s="10" t="s">
        <v>24</v>
      </c>
    </row>
    <row r="39" spans="1:19" x14ac:dyDescent="0.25">
      <c r="A39" s="10" t="s">
        <v>743</v>
      </c>
      <c r="B39" s="10" t="s">
        <v>744</v>
      </c>
      <c r="C39" s="10" t="s">
        <v>731</v>
      </c>
      <c r="D39" s="11">
        <v>45408</v>
      </c>
      <c r="E39" s="12">
        <v>1800000</v>
      </c>
      <c r="F39" s="10" t="s">
        <v>29</v>
      </c>
      <c r="G39" s="10" t="s">
        <v>23</v>
      </c>
      <c r="H39" s="12">
        <v>1800000</v>
      </c>
      <c r="I39" s="12">
        <v>1092580</v>
      </c>
      <c r="J39" s="13">
        <f t="shared" si="5"/>
        <v>60.698888888888888</v>
      </c>
      <c r="K39" s="12">
        <v>2185152</v>
      </c>
      <c r="L39" s="12">
        <f>H39-1655462</f>
        <v>144538</v>
      </c>
      <c r="M39" s="12">
        <v>529690</v>
      </c>
      <c r="N39" s="12">
        <f t="shared" si="6"/>
        <v>360000</v>
      </c>
      <c r="O39" s="14">
        <v>1.91</v>
      </c>
      <c r="P39" s="12">
        <f t="shared" si="7"/>
        <v>75674.345549738224</v>
      </c>
      <c r="Q39" s="15">
        <f t="shared" si="8"/>
        <v>1.7372439290573514</v>
      </c>
      <c r="R39" s="15">
        <f t="shared" si="9"/>
        <v>6.3664969543122805</v>
      </c>
      <c r="S39" s="10" t="s">
        <v>24</v>
      </c>
    </row>
    <row r="40" spans="1:19" ht="15.75" thickBot="1" x14ac:dyDescent="0.3">
      <c r="A40" s="16"/>
      <c r="B40" s="16"/>
      <c r="C40" s="16"/>
      <c r="D40" s="17"/>
      <c r="E40" s="18"/>
      <c r="F40" s="16"/>
      <c r="G40" s="16"/>
      <c r="H40" s="18"/>
      <c r="I40" s="18"/>
      <c r="J40" s="19"/>
      <c r="K40" s="18"/>
      <c r="L40" s="18">
        <f>AVERAGE(L32:L39)</f>
        <v>753160.125</v>
      </c>
      <c r="M40" s="18">
        <f>AVERAGE(M32:M39)</f>
        <v>407909</v>
      </c>
      <c r="N40" s="18">
        <f>AVERAGE(N32:N39)</f>
        <v>392247.5</v>
      </c>
      <c r="O40" s="20"/>
      <c r="P40" s="18"/>
      <c r="Q40" s="21">
        <f>AVERAGE(Q32:Q39)</f>
        <v>24.297449314669755</v>
      </c>
      <c r="R40" s="21">
        <f>AVERAGE(R32:R39)</f>
        <v>10.669470134463435</v>
      </c>
      <c r="S40" s="16"/>
    </row>
    <row r="41" spans="1:19" ht="15.75" thickTop="1" x14ac:dyDescent="0.25">
      <c r="A41" s="10"/>
      <c r="B41" s="10"/>
      <c r="C41" s="10"/>
      <c r="D41" s="11"/>
      <c r="E41" s="12"/>
      <c r="F41" s="10"/>
      <c r="G41" s="10"/>
      <c r="H41" s="12"/>
      <c r="I41" s="12"/>
      <c r="J41" s="13"/>
      <c r="K41" s="12"/>
      <c r="L41" s="12"/>
      <c r="M41" s="12"/>
      <c r="N41" s="12"/>
      <c r="O41" s="14"/>
      <c r="P41" s="12"/>
      <c r="Q41" s="15"/>
      <c r="R41" s="15"/>
      <c r="S41" s="10"/>
    </row>
    <row r="42" spans="1:19" x14ac:dyDescent="0.25">
      <c r="A42" s="10"/>
      <c r="B42" s="10"/>
      <c r="C42" s="10"/>
      <c r="D42" s="11"/>
      <c r="E42" s="12"/>
      <c r="F42" s="10"/>
      <c r="G42" s="10"/>
      <c r="H42" s="12"/>
      <c r="I42" s="12"/>
      <c r="J42" s="13"/>
      <c r="K42" s="12"/>
      <c r="L42" s="12"/>
      <c r="M42" s="12"/>
      <c r="N42" s="12"/>
      <c r="O42" s="14"/>
      <c r="P42" s="12"/>
      <c r="Q42" s="15"/>
      <c r="R42" s="15"/>
      <c r="S42" s="10"/>
    </row>
    <row r="43" spans="1:19" x14ac:dyDescent="0.25">
      <c r="A43" s="10" t="s">
        <v>745</v>
      </c>
      <c r="B43" s="10" t="s">
        <v>746</v>
      </c>
      <c r="C43" s="10" t="s">
        <v>747</v>
      </c>
      <c r="D43" s="11">
        <v>45602</v>
      </c>
      <c r="E43" s="12">
        <v>687500</v>
      </c>
      <c r="F43" s="10" t="s">
        <v>22</v>
      </c>
      <c r="G43" s="10" t="s">
        <v>23</v>
      </c>
      <c r="H43" s="12">
        <v>687500</v>
      </c>
      <c r="I43" s="12">
        <v>166150</v>
      </c>
      <c r="J43" s="13">
        <f>I43/H43*100</f>
        <v>24.167272727272724</v>
      </c>
      <c r="K43" s="12">
        <v>332300</v>
      </c>
      <c r="L43" s="12">
        <f>H43-0</f>
        <v>687500</v>
      </c>
      <c r="M43" s="12">
        <v>332300</v>
      </c>
      <c r="N43" s="12">
        <f>E43*0.2</f>
        <v>137500</v>
      </c>
      <c r="O43" s="14">
        <v>0.57599999999999996</v>
      </c>
      <c r="P43" s="12">
        <f>L43/O43</f>
        <v>1193576.388888889</v>
      </c>
      <c r="Q43" s="15">
        <f>L43/O43/43560</f>
        <v>27.400743546576884</v>
      </c>
      <c r="R43" s="15">
        <f>M43/O43/43560</f>
        <v>13.244024844403633</v>
      </c>
      <c r="S43" s="10" t="s">
        <v>97</v>
      </c>
    </row>
    <row r="44" spans="1:19" ht="15.75" thickBot="1" x14ac:dyDescent="0.3">
      <c r="A44" s="16"/>
      <c r="B44" s="16"/>
      <c r="C44" s="16"/>
      <c r="D44" s="17"/>
      <c r="E44" s="18"/>
      <c r="F44" s="16"/>
      <c r="G44" s="16"/>
      <c r="H44" s="18"/>
      <c r="I44" s="18"/>
      <c r="J44" s="19"/>
      <c r="K44" s="18"/>
      <c r="L44" s="18">
        <f>AVERAGE(L43)</f>
        <v>687500</v>
      </c>
      <c r="M44" s="18">
        <f>AVERAGE(M43)</f>
        <v>332300</v>
      </c>
      <c r="N44" s="18">
        <f>AVERAGE(N43)</f>
        <v>137500</v>
      </c>
      <c r="O44" s="20"/>
      <c r="P44" s="18"/>
      <c r="Q44" s="21">
        <f>AVERAGE(Q43)</f>
        <v>27.400743546576884</v>
      </c>
      <c r="R44" s="21">
        <f>AVERAGE(R43)</f>
        <v>13.244024844403633</v>
      </c>
      <c r="S44" s="16"/>
    </row>
    <row r="45" spans="1:19" ht="15.75" thickTop="1" x14ac:dyDescent="0.25">
      <c r="A45" s="10"/>
      <c r="B45" s="10"/>
      <c r="C45" s="10"/>
      <c r="D45" s="11"/>
      <c r="E45" s="12"/>
      <c r="F45" s="10"/>
      <c r="G45" s="10"/>
      <c r="H45" s="12"/>
      <c r="I45" s="12"/>
      <c r="J45" s="13"/>
      <c r="K45" s="12"/>
      <c r="L45" s="12"/>
      <c r="M45" s="12"/>
      <c r="N45" s="12"/>
      <c r="O45" s="14"/>
      <c r="P45" s="12"/>
      <c r="Q45" s="15"/>
      <c r="R45" s="15"/>
      <c r="S45" s="10"/>
    </row>
    <row r="46" spans="1:19" x14ac:dyDescent="0.25">
      <c r="A46" s="10"/>
      <c r="B46" s="10"/>
      <c r="C46" s="10"/>
      <c r="D46" s="11"/>
      <c r="E46" s="12"/>
      <c r="F46" s="10"/>
      <c r="G46" s="10"/>
      <c r="H46" s="12"/>
      <c r="I46" s="12"/>
      <c r="J46" s="13"/>
      <c r="K46" s="12"/>
      <c r="L46" s="12"/>
      <c r="M46" s="12"/>
      <c r="N46" s="12"/>
      <c r="O46" s="14"/>
      <c r="P46" s="12"/>
      <c r="Q46" s="15"/>
      <c r="R46" s="15"/>
      <c r="S46" s="10"/>
    </row>
    <row r="47" spans="1:19" x14ac:dyDescent="0.25">
      <c r="A47" s="10" t="s">
        <v>748</v>
      </c>
      <c r="B47" s="10" t="s">
        <v>749</v>
      </c>
      <c r="C47" s="10" t="s">
        <v>750</v>
      </c>
      <c r="D47" s="11">
        <v>45646</v>
      </c>
      <c r="E47" s="12">
        <v>775000</v>
      </c>
      <c r="F47" s="10" t="s">
        <v>29</v>
      </c>
      <c r="G47" s="10" t="s">
        <v>23</v>
      </c>
      <c r="H47" s="12">
        <v>775000</v>
      </c>
      <c r="I47" s="12">
        <v>272280</v>
      </c>
      <c r="J47" s="13">
        <f t="shared" ref="J47:J58" si="10">I47/H47*100</f>
        <v>35.132903225806452</v>
      </c>
      <c r="K47" s="12">
        <v>544550</v>
      </c>
      <c r="L47" s="12">
        <f>H47-419550</f>
        <v>355450</v>
      </c>
      <c r="M47" s="12">
        <v>125000</v>
      </c>
      <c r="N47" s="12">
        <f t="shared" ref="N47:N58" si="11">E47*0.2</f>
        <v>155000</v>
      </c>
      <c r="O47" s="14">
        <v>1</v>
      </c>
      <c r="P47" s="12">
        <f t="shared" ref="P47:P58" si="12">L47/O47</f>
        <v>355450</v>
      </c>
      <c r="Q47" s="15">
        <f t="shared" ref="Q47:Q58" si="13">L47/O47/43560</f>
        <v>8.1600091827364558</v>
      </c>
      <c r="R47" s="15">
        <f t="shared" ref="R47:R58" si="14">M47/O47/43560</f>
        <v>2.8696051423324151</v>
      </c>
      <c r="S47" s="10" t="s">
        <v>97</v>
      </c>
    </row>
    <row r="48" spans="1:19" x14ac:dyDescent="0.25">
      <c r="A48" s="10" t="s">
        <v>751</v>
      </c>
      <c r="B48" s="10" t="s">
        <v>752</v>
      </c>
      <c r="C48" s="10" t="s">
        <v>750</v>
      </c>
      <c r="D48" s="11">
        <v>45429</v>
      </c>
      <c r="E48" s="12">
        <v>625000</v>
      </c>
      <c r="F48" s="10" t="s">
        <v>29</v>
      </c>
      <c r="G48" s="10" t="s">
        <v>23</v>
      </c>
      <c r="H48" s="12">
        <v>625000</v>
      </c>
      <c r="I48" s="12">
        <v>308550</v>
      </c>
      <c r="J48" s="13">
        <f t="shared" si="10"/>
        <v>49.368000000000002</v>
      </c>
      <c r="K48" s="12">
        <v>617098</v>
      </c>
      <c r="L48" s="12">
        <f>H48-492098</f>
        <v>132902</v>
      </c>
      <c r="M48" s="12">
        <v>125000</v>
      </c>
      <c r="N48" s="12">
        <f t="shared" si="11"/>
        <v>125000</v>
      </c>
      <c r="O48" s="14">
        <v>1</v>
      </c>
      <c r="P48" s="12">
        <f t="shared" si="12"/>
        <v>132902</v>
      </c>
      <c r="Q48" s="15">
        <f t="shared" si="13"/>
        <v>3.0510101010101009</v>
      </c>
      <c r="R48" s="15">
        <f t="shared" si="14"/>
        <v>2.8696051423324151</v>
      </c>
      <c r="S48" s="10" t="s">
        <v>97</v>
      </c>
    </row>
    <row r="49" spans="1:19" x14ac:dyDescent="0.25">
      <c r="A49" s="10" t="s">
        <v>753</v>
      </c>
      <c r="B49" s="10" t="s">
        <v>754</v>
      </c>
      <c r="C49" s="10" t="s">
        <v>750</v>
      </c>
      <c r="D49" s="11">
        <v>45575</v>
      </c>
      <c r="E49" s="12">
        <v>725000</v>
      </c>
      <c r="F49" s="10" t="s">
        <v>29</v>
      </c>
      <c r="G49" s="10" t="s">
        <v>23</v>
      </c>
      <c r="H49" s="12">
        <v>725000</v>
      </c>
      <c r="I49" s="12">
        <v>346370</v>
      </c>
      <c r="J49" s="13">
        <f t="shared" si="10"/>
        <v>47.775172413793108</v>
      </c>
      <c r="K49" s="12">
        <v>692738</v>
      </c>
      <c r="L49" s="12">
        <f>H49-567738</f>
        <v>157262</v>
      </c>
      <c r="M49" s="12">
        <v>125000</v>
      </c>
      <c r="N49" s="12">
        <f t="shared" si="11"/>
        <v>145000</v>
      </c>
      <c r="O49" s="14">
        <v>1</v>
      </c>
      <c r="P49" s="12">
        <f t="shared" si="12"/>
        <v>157262</v>
      </c>
      <c r="Q49" s="15">
        <f t="shared" si="13"/>
        <v>3.610238751147842</v>
      </c>
      <c r="R49" s="15">
        <f t="shared" si="14"/>
        <v>2.8696051423324151</v>
      </c>
      <c r="S49" s="10" t="s">
        <v>97</v>
      </c>
    </row>
    <row r="50" spans="1:19" x14ac:dyDescent="0.25">
      <c r="A50" s="10" t="s">
        <v>755</v>
      </c>
      <c r="B50" s="10" t="s">
        <v>756</v>
      </c>
      <c r="C50" s="10" t="s">
        <v>750</v>
      </c>
      <c r="D50" s="11">
        <v>45156</v>
      </c>
      <c r="E50" s="12">
        <v>750000</v>
      </c>
      <c r="F50" s="10" t="s">
        <v>22</v>
      </c>
      <c r="G50" s="10" t="s">
        <v>23</v>
      </c>
      <c r="H50" s="12">
        <v>750000</v>
      </c>
      <c r="I50" s="12">
        <v>325650</v>
      </c>
      <c r="J50" s="13">
        <f t="shared" si="10"/>
        <v>43.419999999999995</v>
      </c>
      <c r="K50" s="12">
        <v>651308</v>
      </c>
      <c r="L50" s="12">
        <f>H50-526308</f>
        <v>223692</v>
      </c>
      <c r="M50" s="12">
        <v>125000</v>
      </c>
      <c r="N50" s="12">
        <f t="shared" si="11"/>
        <v>150000</v>
      </c>
      <c r="O50" s="14">
        <v>1</v>
      </c>
      <c r="P50" s="12">
        <f t="shared" si="12"/>
        <v>223692</v>
      </c>
      <c r="Q50" s="15">
        <f t="shared" si="13"/>
        <v>5.1352617079889811</v>
      </c>
      <c r="R50" s="15">
        <f t="shared" si="14"/>
        <v>2.8696051423324151</v>
      </c>
      <c r="S50" s="10" t="s">
        <v>97</v>
      </c>
    </row>
    <row r="51" spans="1:19" x14ac:dyDescent="0.25">
      <c r="A51" s="10" t="s">
        <v>757</v>
      </c>
      <c r="B51" s="10" t="s">
        <v>758</v>
      </c>
      <c r="C51" s="10" t="s">
        <v>750</v>
      </c>
      <c r="D51" s="11">
        <v>45128</v>
      </c>
      <c r="E51" s="12">
        <v>712500</v>
      </c>
      <c r="F51" s="10" t="s">
        <v>29</v>
      </c>
      <c r="G51" s="10" t="s">
        <v>23</v>
      </c>
      <c r="H51" s="12">
        <v>712500</v>
      </c>
      <c r="I51" s="12">
        <v>332340</v>
      </c>
      <c r="J51" s="13">
        <f t="shared" si="10"/>
        <v>46.644210526315788</v>
      </c>
      <c r="K51" s="12">
        <v>664685</v>
      </c>
      <c r="L51" s="12">
        <f>H51-539685</f>
        <v>172815</v>
      </c>
      <c r="M51" s="12">
        <v>125000</v>
      </c>
      <c r="N51" s="12">
        <f t="shared" si="11"/>
        <v>142500</v>
      </c>
      <c r="O51" s="14">
        <v>1</v>
      </c>
      <c r="P51" s="12">
        <f t="shared" si="12"/>
        <v>172815</v>
      </c>
      <c r="Q51" s="15">
        <f t="shared" si="13"/>
        <v>3.9672865013774103</v>
      </c>
      <c r="R51" s="15">
        <f t="shared" si="14"/>
        <v>2.8696051423324151</v>
      </c>
      <c r="S51" s="10" t="s">
        <v>97</v>
      </c>
    </row>
    <row r="52" spans="1:19" x14ac:dyDescent="0.25">
      <c r="A52" s="10" t="s">
        <v>759</v>
      </c>
      <c r="B52" s="10" t="s">
        <v>760</v>
      </c>
      <c r="C52" s="10" t="s">
        <v>750</v>
      </c>
      <c r="D52" s="11">
        <v>45231</v>
      </c>
      <c r="E52" s="12">
        <v>691000</v>
      </c>
      <c r="F52" s="10" t="s">
        <v>29</v>
      </c>
      <c r="G52" s="10" t="s">
        <v>23</v>
      </c>
      <c r="H52" s="12">
        <v>691000</v>
      </c>
      <c r="I52" s="12">
        <v>389180</v>
      </c>
      <c r="J52" s="13">
        <f t="shared" si="10"/>
        <v>56.321273516642542</v>
      </c>
      <c r="K52" s="12">
        <v>778369</v>
      </c>
      <c r="L52" s="12">
        <f>H52-640369</f>
        <v>50631</v>
      </c>
      <c r="M52" s="12">
        <v>138000</v>
      </c>
      <c r="N52" s="12">
        <f t="shared" si="11"/>
        <v>138200</v>
      </c>
      <c r="O52" s="14">
        <v>1</v>
      </c>
      <c r="P52" s="12">
        <f t="shared" si="12"/>
        <v>50631</v>
      </c>
      <c r="Q52" s="15">
        <f t="shared" si="13"/>
        <v>1.16232782369146</v>
      </c>
      <c r="R52" s="15">
        <f t="shared" si="14"/>
        <v>3.168044077134986</v>
      </c>
      <c r="S52" s="10" t="s">
        <v>97</v>
      </c>
    </row>
    <row r="53" spans="1:19" x14ac:dyDescent="0.25">
      <c r="A53" s="10" t="s">
        <v>761</v>
      </c>
      <c r="B53" s="10" t="s">
        <v>762</v>
      </c>
      <c r="C53" s="10" t="s">
        <v>750</v>
      </c>
      <c r="D53" s="11">
        <v>45485</v>
      </c>
      <c r="E53" s="12">
        <v>700000</v>
      </c>
      <c r="F53" s="10" t="s">
        <v>22</v>
      </c>
      <c r="G53" s="10" t="s">
        <v>23</v>
      </c>
      <c r="H53" s="12">
        <v>700000</v>
      </c>
      <c r="I53" s="12">
        <v>408910</v>
      </c>
      <c r="J53" s="13">
        <f t="shared" si="10"/>
        <v>58.41571428571428</v>
      </c>
      <c r="K53" s="12">
        <v>817824</v>
      </c>
      <c r="L53" s="12">
        <f>H53-679824</f>
        <v>20176</v>
      </c>
      <c r="M53" s="12">
        <v>138000</v>
      </c>
      <c r="N53" s="12">
        <f t="shared" si="11"/>
        <v>140000</v>
      </c>
      <c r="O53" s="14">
        <v>1</v>
      </c>
      <c r="P53" s="12">
        <f t="shared" si="12"/>
        <v>20176</v>
      </c>
      <c r="Q53" s="15">
        <f t="shared" si="13"/>
        <v>0.46317722681359047</v>
      </c>
      <c r="R53" s="15">
        <f t="shared" si="14"/>
        <v>3.168044077134986</v>
      </c>
      <c r="S53" s="10" t="s">
        <v>97</v>
      </c>
    </row>
    <row r="54" spans="1:19" x14ac:dyDescent="0.25">
      <c r="A54" s="10" t="s">
        <v>763</v>
      </c>
      <c r="B54" s="10" t="s">
        <v>764</v>
      </c>
      <c r="C54" s="10" t="s">
        <v>750</v>
      </c>
      <c r="D54" s="11">
        <v>45534</v>
      </c>
      <c r="E54" s="12">
        <v>548775</v>
      </c>
      <c r="F54" s="10" t="s">
        <v>29</v>
      </c>
      <c r="G54" s="10" t="s">
        <v>23</v>
      </c>
      <c r="H54" s="12">
        <v>548775</v>
      </c>
      <c r="I54" s="12">
        <v>259390</v>
      </c>
      <c r="J54" s="13">
        <f t="shared" si="10"/>
        <v>47.267094893171155</v>
      </c>
      <c r="K54" s="12">
        <v>518785</v>
      </c>
      <c r="L54" s="12">
        <f>H54-393785</f>
        <v>154990</v>
      </c>
      <c r="M54" s="12">
        <v>125000</v>
      </c>
      <c r="N54" s="12">
        <f t="shared" si="11"/>
        <v>109755</v>
      </c>
      <c r="O54" s="14">
        <v>1</v>
      </c>
      <c r="P54" s="12">
        <f t="shared" si="12"/>
        <v>154990</v>
      </c>
      <c r="Q54" s="15">
        <f t="shared" si="13"/>
        <v>3.558080808080808</v>
      </c>
      <c r="R54" s="15">
        <f t="shared" si="14"/>
        <v>2.8696051423324151</v>
      </c>
      <c r="S54" s="10" t="s">
        <v>97</v>
      </c>
    </row>
    <row r="55" spans="1:19" x14ac:dyDescent="0.25">
      <c r="A55" s="10" t="s">
        <v>765</v>
      </c>
      <c r="B55" s="10" t="s">
        <v>766</v>
      </c>
      <c r="C55" s="10" t="s">
        <v>750</v>
      </c>
      <c r="D55" s="11">
        <v>45415</v>
      </c>
      <c r="E55" s="12">
        <v>430000</v>
      </c>
      <c r="F55" s="10" t="s">
        <v>29</v>
      </c>
      <c r="G55" s="10" t="s">
        <v>23</v>
      </c>
      <c r="H55" s="12">
        <v>430000</v>
      </c>
      <c r="I55" s="12">
        <v>274480</v>
      </c>
      <c r="J55" s="13">
        <f t="shared" si="10"/>
        <v>63.832558139534882</v>
      </c>
      <c r="K55" s="12">
        <v>548963</v>
      </c>
      <c r="L55" s="12">
        <f>H55-423963</f>
        <v>6037</v>
      </c>
      <c r="M55" s="12">
        <v>125000</v>
      </c>
      <c r="N55" s="12">
        <f t="shared" si="11"/>
        <v>86000</v>
      </c>
      <c r="O55" s="14">
        <v>1</v>
      </c>
      <c r="P55" s="12">
        <f t="shared" si="12"/>
        <v>6037</v>
      </c>
      <c r="Q55" s="15">
        <f t="shared" si="13"/>
        <v>0.13859044995408631</v>
      </c>
      <c r="R55" s="15">
        <f t="shared" si="14"/>
        <v>2.8696051423324151</v>
      </c>
      <c r="S55" s="10" t="s">
        <v>97</v>
      </c>
    </row>
    <row r="56" spans="1:19" x14ac:dyDescent="0.25">
      <c r="A56" s="10" t="s">
        <v>767</v>
      </c>
      <c r="B56" s="10" t="s">
        <v>768</v>
      </c>
      <c r="C56" s="10" t="s">
        <v>750</v>
      </c>
      <c r="D56" s="11">
        <v>45371</v>
      </c>
      <c r="E56" s="12">
        <v>410500</v>
      </c>
      <c r="F56" s="10" t="s">
        <v>29</v>
      </c>
      <c r="G56" s="10" t="s">
        <v>23</v>
      </c>
      <c r="H56" s="12">
        <v>410500</v>
      </c>
      <c r="I56" s="12">
        <v>258760</v>
      </c>
      <c r="J56" s="13">
        <f t="shared" si="10"/>
        <v>63.035322777101101</v>
      </c>
      <c r="K56" s="12">
        <v>517519</v>
      </c>
      <c r="L56" s="12">
        <f>H56-392519</f>
        <v>17981</v>
      </c>
      <c r="M56" s="12">
        <v>125000</v>
      </c>
      <c r="N56" s="12">
        <f t="shared" si="11"/>
        <v>82100</v>
      </c>
      <c r="O56" s="14">
        <v>1</v>
      </c>
      <c r="P56" s="12">
        <f t="shared" si="12"/>
        <v>17981</v>
      </c>
      <c r="Q56" s="15">
        <f t="shared" si="13"/>
        <v>0.41278696051423325</v>
      </c>
      <c r="R56" s="15">
        <f t="shared" si="14"/>
        <v>2.8696051423324151</v>
      </c>
      <c r="S56" s="10" t="s">
        <v>97</v>
      </c>
    </row>
    <row r="57" spans="1:19" x14ac:dyDescent="0.25">
      <c r="A57" s="10" t="s">
        <v>769</v>
      </c>
      <c r="B57" s="10" t="s">
        <v>770</v>
      </c>
      <c r="C57" s="10" t="s">
        <v>750</v>
      </c>
      <c r="D57" s="11">
        <v>45510</v>
      </c>
      <c r="E57" s="12">
        <v>415000</v>
      </c>
      <c r="F57" s="10" t="s">
        <v>22</v>
      </c>
      <c r="G57" s="10" t="s">
        <v>23</v>
      </c>
      <c r="H57" s="12">
        <v>415000</v>
      </c>
      <c r="I57" s="12">
        <v>283540</v>
      </c>
      <c r="J57" s="13">
        <f t="shared" si="10"/>
        <v>68.322891566265071</v>
      </c>
      <c r="K57" s="12">
        <v>567086</v>
      </c>
      <c r="L57" s="12">
        <f>H57-442086</f>
        <v>-27086</v>
      </c>
      <c r="M57" s="12">
        <v>125000</v>
      </c>
      <c r="N57" s="12">
        <f t="shared" si="11"/>
        <v>83000</v>
      </c>
      <c r="O57" s="14">
        <v>1</v>
      </c>
      <c r="P57" s="12">
        <f t="shared" si="12"/>
        <v>-27086</v>
      </c>
      <c r="Q57" s="15">
        <f t="shared" si="13"/>
        <v>-0.62180899908172638</v>
      </c>
      <c r="R57" s="15">
        <f t="shared" si="14"/>
        <v>2.8696051423324151</v>
      </c>
      <c r="S57" s="10" t="s">
        <v>97</v>
      </c>
    </row>
    <row r="58" spans="1:19" x14ac:dyDescent="0.25">
      <c r="A58" s="10" t="s">
        <v>771</v>
      </c>
      <c r="B58" s="10" t="s">
        <v>772</v>
      </c>
      <c r="C58" s="10" t="s">
        <v>750</v>
      </c>
      <c r="D58" s="11">
        <v>45092</v>
      </c>
      <c r="E58" s="12">
        <v>587500</v>
      </c>
      <c r="F58" s="10" t="s">
        <v>29</v>
      </c>
      <c r="G58" s="10" t="s">
        <v>23</v>
      </c>
      <c r="H58" s="12">
        <v>587500</v>
      </c>
      <c r="I58" s="12">
        <v>282070</v>
      </c>
      <c r="J58" s="13">
        <f t="shared" si="10"/>
        <v>48.011914893617018</v>
      </c>
      <c r="K58" s="12">
        <v>564149</v>
      </c>
      <c r="L58" s="12">
        <f>H58-426149</f>
        <v>161351</v>
      </c>
      <c r="M58" s="12">
        <v>138000</v>
      </c>
      <c r="N58" s="12">
        <f t="shared" si="11"/>
        <v>117500</v>
      </c>
      <c r="O58" s="14">
        <v>1</v>
      </c>
      <c r="P58" s="12">
        <f t="shared" si="12"/>
        <v>161351</v>
      </c>
      <c r="Q58" s="15">
        <f t="shared" si="13"/>
        <v>3.70410927456382</v>
      </c>
      <c r="R58" s="15">
        <f t="shared" si="14"/>
        <v>3.168044077134986</v>
      </c>
      <c r="S58" s="10" t="s">
        <v>97</v>
      </c>
    </row>
    <row r="59" spans="1:19" ht="15.75" thickBot="1" x14ac:dyDescent="0.3">
      <c r="A59" s="16"/>
      <c r="B59" s="16"/>
      <c r="C59" s="16"/>
      <c r="D59" s="17"/>
      <c r="E59" s="18"/>
      <c r="F59" s="16"/>
      <c r="G59" s="16"/>
      <c r="H59" s="18"/>
      <c r="I59" s="18"/>
      <c r="J59" s="19"/>
      <c r="K59" s="18"/>
      <c r="L59" s="18">
        <f>AVERAGE(L47:L58)</f>
        <v>118850.08333333333</v>
      </c>
      <c r="M59" s="18">
        <f>AVERAGE(M47:M58)</f>
        <v>128250</v>
      </c>
      <c r="N59" s="18">
        <f>AVERAGE(N47:N58)</f>
        <v>122837.91666666667</v>
      </c>
      <c r="O59" s="20"/>
      <c r="P59" s="18"/>
      <c r="Q59" s="21">
        <f>AVERAGE(Q47:Q58)</f>
        <v>2.7284224823997554</v>
      </c>
      <c r="R59" s="21">
        <f>AVERAGE(R47:R58)</f>
        <v>2.9442148760330578</v>
      </c>
      <c r="S59" s="16"/>
    </row>
    <row r="60" spans="1:19" ht="15.75" thickTop="1" x14ac:dyDescent="0.25">
      <c r="A60" s="10"/>
      <c r="B60" s="10"/>
      <c r="C60" s="10"/>
      <c r="D60" s="11"/>
      <c r="E60" s="12"/>
      <c r="F60" s="10"/>
      <c r="G60" s="10"/>
      <c r="H60" s="12"/>
      <c r="I60" s="12"/>
      <c r="J60" s="13"/>
      <c r="K60" s="12"/>
      <c r="L60" s="12"/>
      <c r="M60" s="12"/>
      <c r="N60" s="12"/>
      <c r="O60" s="14"/>
      <c r="P60" s="12"/>
      <c r="Q60" s="15"/>
      <c r="R60" s="15"/>
      <c r="S60" s="10"/>
    </row>
    <row r="61" spans="1:19" x14ac:dyDescent="0.25">
      <c r="A61" s="10"/>
      <c r="B61" s="10"/>
      <c r="C61" s="10"/>
      <c r="D61" s="11"/>
      <c r="E61" s="12"/>
      <c r="F61" s="10"/>
      <c r="G61" s="10"/>
      <c r="H61" s="12"/>
      <c r="I61" s="12"/>
      <c r="J61" s="13"/>
      <c r="K61" s="12"/>
      <c r="L61" s="12"/>
      <c r="M61" s="12"/>
      <c r="N61" s="12"/>
      <c r="O61" s="14"/>
      <c r="P61" s="12"/>
      <c r="Q61" s="15"/>
      <c r="R61" s="15"/>
      <c r="S61" s="10"/>
    </row>
    <row r="62" spans="1:19" x14ac:dyDescent="0.25">
      <c r="A62" s="10" t="s">
        <v>773</v>
      </c>
      <c r="B62" s="10" t="s">
        <v>774</v>
      </c>
      <c r="C62" s="10" t="s">
        <v>775</v>
      </c>
      <c r="D62" s="11">
        <v>45546</v>
      </c>
      <c r="E62" s="12">
        <v>600000</v>
      </c>
      <c r="F62" s="10" t="s">
        <v>22</v>
      </c>
      <c r="G62" s="10" t="s">
        <v>23</v>
      </c>
      <c r="H62" s="12">
        <v>600000</v>
      </c>
      <c r="I62" s="12">
        <v>334480</v>
      </c>
      <c r="J62" s="13">
        <f>I62/H62*100</f>
        <v>55.74666666666667</v>
      </c>
      <c r="K62" s="12">
        <v>668960</v>
      </c>
      <c r="L62" s="12">
        <f>H62-542960</f>
        <v>57040</v>
      </c>
      <c r="M62" s="12">
        <v>126000</v>
      </c>
      <c r="N62" s="12">
        <f>E62*0.2</f>
        <v>120000</v>
      </c>
      <c r="O62" s="14">
        <v>1</v>
      </c>
      <c r="P62" s="12">
        <f>L62/O62</f>
        <v>57040</v>
      </c>
      <c r="Q62" s="15">
        <f>L62/O62/43560</f>
        <v>1.3094582185491277</v>
      </c>
      <c r="R62" s="15">
        <f>M62/O62/43560</f>
        <v>2.8925619834710745</v>
      </c>
      <c r="S62" s="10" t="s">
        <v>97</v>
      </c>
    </row>
    <row r="63" spans="1:19" x14ac:dyDescent="0.25">
      <c r="A63" s="10" t="s">
        <v>776</v>
      </c>
      <c r="B63" s="10" t="s">
        <v>777</v>
      </c>
      <c r="C63" s="10" t="s">
        <v>775</v>
      </c>
      <c r="D63" s="11">
        <v>45456</v>
      </c>
      <c r="E63" s="12">
        <v>800000</v>
      </c>
      <c r="F63" s="10" t="s">
        <v>29</v>
      </c>
      <c r="G63" s="10" t="s">
        <v>23</v>
      </c>
      <c r="H63" s="12">
        <v>800000</v>
      </c>
      <c r="I63" s="12">
        <v>325170</v>
      </c>
      <c r="J63" s="13">
        <f>I63/H63*100</f>
        <v>40.646250000000002</v>
      </c>
      <c r="K63" s="12">
        <v>650348</v>
      </c>
      <c r="L63" s="12">
        <f>H63-524348</f>
        <v>275652</v>
      </c>
      <c r="M63" s="12">
        <v>126000</v>
      </c>
      <c r="N63" s="12">
        <f>E63*0.2</f>
        <v>160000</v>
      </c>
      <c r="O63" s="14">
        <v>1</v>
      </c>
      <c r="P63" s="12">
        <f>L63/O63</f>
        <v>275652</v>
      </c>
      <c r="Q63" s="15">
        <f>L63/O63/43560</f>
        <v>6.3280991735537189</v>
      </c>
      <c r="R63" s="15">
        <f>M63/O63/43560</f>
        <v>2.8925619834710745</v>
      </c>
      <c r="S63" s="10" t="s">
        <v>97</v>
      </c>
    </row>
    <row r="64" spans="1:19" x14ac:dyDescent="0.25">
      <c r="A64" s="10" t="s">
        <v>778</v>
      </c>
      <c r="B64" s="10" t="s">
        <v>779</v>
      </c>
      <c r="C64" s="10" t="s">
        <v>775</v>
      </c>
      <c r="D64" s="11">
        <v>45105</v>
      </c>
      <c r="E64" s="12">
        <v>767500</v>
      </c>
      <c r="F64" s="10" t="s">
        <v>22</v>
      </c>
      <c r="G64" s="10" t="s">
        <v>23</v>
      </c>
      <c r="H64" s="12">
        <v>767500</v>
      </c>
      <c r="I64" s="12">
        <v>306010</v>
      </c>
      <c r="J64" s="13">
        <f>I64/H64*100</f>
        <v>39.871009771986969</v>
      </c>
      <c r="K64" s="12">
        <v>612027</v>
      </c>
      <c r="L64" s="12">
        <f>H64-462027</f>
        <v>305473</v>
      </c>
      <c r="M64" s="12">
        <v>150000</v>
      </c>
      <c r="N64" s="12">
        <f>E64*0.2</f>
        <v>153500</v>
      </c>
      <c r="O64" s="14">
        <v>1</v>
      </c>
      <c r="P64" s="12">
        <f>L64/O64</f>
        <v>305473</v>
      </c>
      <c r="Q64" s="15">
        <f>L64/O64/43560</f>
        <v>7.0126951331496787</v>
      </c>
      <c r="R64" s="15">
        <f>M64/O64/43560</f>
        <v>3.443526170798898</v>
      </c>
      <c r="S64" s="10" t="s">
        <v>97</v>
      </c>
    </row>
    <row r="65" spans="1:19" x14ac:dyDescent="0.25">
      <c r="A65" s="10" t="s">
        <v>780</v>
      </c>
      <c r="B65" s="10" t="s">
        <v>781</v>
      </c>
      <c r="C65" s="10" t="s">
        <v>775</v>
      </c>
      <c r="D65" s="11">
        <v>45366</v>
      </c>
      <c r="E65" s="12">
        <v>845000</v>
      </c>
      <c r="F65" s="10" t="s">
        <v>22</v>
      </c>
      <c r="G65" s="10" t="s">
        <v>23</v>
      </c>
      <c r="H65" s="12">
        <v>845000</v>
      </c>
      <c r="I65" s="12">
        <v>312340</v>
      </c>
      <c r="J65" s="13">
        <f>I65/H65*100</f>
        <v>36.963313609467455</v>
      </c>
      <c r="K65" s="12">
        <v>624677</v>
      </c>
      <c r="L65" s="12">
        <f>H65-474677</f>
        <v>370323</v>
      </c>
      <c r="M65" s="12">
        <v>150000</v>
      </c>
      <c r="N65" s="12">
        <f>E65*0.2</f>
        <v>169000</v>
      </c>
      <c r="O65" s="14">
        <v>1</v>
      </c>
      <c r="P65" s="12">
        <f>L65/O65</f>
        <v>370323</v>
      </c>
      <c r="Q65" s="15">
        <f>L65/O65/43560</f>
        <v>8.5014462809917362</v>
      </c>
      <c r="R65" s="15">
        <f>M65/O65/43560</f>
        <v>3.443526170798898</v>
      </c>
      <c r="S65" s="10" t="s">
        <v>97</v>
      </c>
    </row>
    <row r="66" spans="1:19" ht="15.75" thickBot="1" x14ac:dyDescent="0.3">
      <c r="A66" s="16"/>
      <c r="B66" s="16"/>
      <c r="C66" s="16"/>
      <c r="D66" s="17"/>
      <c r="E66" s="18"/>
      <c r="F66" s="16"/>
      <c r="G66" s="16"/>
      <c r="H66" s="18"/>
      <c r="I66" s="18"/>
      <c r="J66" s="19"/>
      <c r="K66" s="18"/>
      <c r="L66" s="18">
        <f>AVERAGE(L62:L65)</f>
        <v>252122</v>
      </c>
      <c r="M66" s="18">
        <f>AVERAGE(M62:M65)</f>
        <v>138000</v>
      </c>
      <c r="N66" s="18">
        <f>AVERAGE(N62:N65)</f>
        <v>150625</v>
      </c>
      <c r="O66" s="20"/>
      <c r="P66" s="18"/>
      <c r="Q66" s="21">
        <f>AVERAGE(Q62:Q65)</f>
        <v>5.7879247015610655</v>
      </c>
      <c r="R66" s="21">
        <f>AVERAGE(R62:R65)</f>
        <v>3.1680440771349865</v>
      </c>
      <c r="S66" s="16"/>
    </row>
    <row r="67" spans="1:19" ht="15.75" thickTop="1" x14ac:dyDescent="0.2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68286-FE63-41AA-9B64-F2C0E2F9E74D}">
  <dimension ref="A1:S49"/>
  <sheetViews>
    <sheetView workbookViewId="0">
      <selection activeCell="A46" sqref="A46:XFD49"/>
    </sheetView>
  </sheetViews>
  <sheetFormatPr defaultRowHeight="15" x14ac:dyDescent="0.25"/>
  <cols>
    <col min="1" max="1" width="12.42578125" bestFit="1" customWidth="1"/>
    <col min="2" max="2" width="19.5703125" bestFit="1" customWidth="1"/>
    <col min="3" max="3" width="12.5703125" bestFit="1" customWidth="1"/>
    <col min="7" max="7" width="13.140625" bestFit="1" customWidth="1"/>
    <col min="13" max="13" width="10.8554687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180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782</v>
      </c>
      <c r="B2" s="10" t="s">
        <v>783</v>
      </c>
      <c r="C2" s="10" t="s">
        <v>784</v>
      </c>
      <c r="D2" s="11">
        <v>45418</v>
      </c>
      <c r="E2" s="12">
        <v>552300</v>
      </c>
      <c r="F2" s="10" t="s">
        <v>29</v>
      </c>
      <c r="G2" s="10" t="s">
        <v>23</v>
      </c>
      <c r="H2" s="12">
        <v>552300</v>
      </c>
      <c r="I2" s="12">
        <v>219290</v>
      </c>
      <c r="J2" s="13">
        <f>I2/H2*100</f>
        <v>39.704870541372443</v>
      </c>
      <c r="K2" s="12">
        <v>438579</v>
      </c>
      <c r="L2" s="12">
        <f>H2-340395</f>
        <v>211905</v>
      </c>
      <c r="M2" s="12">
        <v>98184</v>
      </c>
      <c r="N2" s="12">
        <f>E2*0.2</f>
        <v>110460</v>
      </c>
      <c r="O2" s="14">
        <v>0.39200000000000002</v>
      </c>
      <c r="P2" s="12">
        <f>L2/O2</f>
        <v>540573.97959183669</v>
      </c>
      <c r="Q2" s="15">
        <f>L2/O2/43560</f>
        <v>12.40987097318266</v>
      </c>
      <c r="R2" s="15">
        <f>M2/O2/43560</f>
        <v>5.7499859447911392</v>
      </c>
      <c r="S2" s="10" t="s">
        <v>24</v>
      </c>
    </row>
    <row r="3" spans="1:19" x14ac:dyDescent="0.25">
      <c r="A3" s="10" t="s">
        <v>785</v>
      </c>
      <c r="B3" s="10" t="s">
        <v>786</v>
      </c>
      <c r="C3" s="10" t="s">
        <v>784</v>
      </c>
      <c r="D3" s="11">
        <v>45084</v>
      </c>
      <c r="E3" s="12">
        <v>382500</v>
      </c>
      <c r="F3" s="10" t="s">
        <v>29</v>
      </c>
      <c r="G3" s="10" t="s">
        <v>23</v>
      </c>
      <c r="H3" s="12">
        <v>382500</v>
      </c>
      <c r="I3" s="12">
        <v>160680</v>
      </c>
      <c r="J3" s="13">
        <f>I3/H3*100</f>
        <v>42.007843137254902</v>
      </c>
      <c r="K3" s="12">
        <v>321356</v>
      </c>
      <c r="L3" s="12">
        <f>H3-178473</f>
        <v>204027</v>
      </c>
      <c r="M3" s="12">
        <v>142883</v>
      </c>
      <c r="N3" s="12">
        <f>E3*0.2</f>
        <v>76500</v>
      </c>
      <c r="O3" s="14">
        <v>0.746</v>
      </c>
      <c r="P3" s="12">
        <f>L3/O3</f>
        <v>273494.63806970511</v>
      </c>
      <c r="Q3" s="15">
        <f>L3/O3/43560</f>
        <v>6.2785729584413481</v>
      </c>
      <c r="R3" s="15">
        <f>M3/O3/43560</f>
        <v>4.3969736359451206</v>
      </c>
      <c r="S3" s="10" t="s">
        <v>24</v>
      </c>
    </row>
    <row r="4" spans="1:19" x14ac:dyDescent="0.25">
      <c r="A4" s="10" t="s">
        <v>787</v>
      </c>
      <c r="B4" s="10" t="s">
        <v>788</v>
      </c>
      <c r="C4" s="10" t="s">
        <v>784</v>
      </c>
      <c r="D4" s="11">
        <v>45540</v>
      </c>
      <c r="E4" s="12">
        <v>410000</v>
      </c>
      <c r="F4" s="10" t="s">
        <v>22</v>
      </c>
      <c r="G4" s="10" t="s">
        <v>23</v>
      </c>
      <c r="H4" s="12">
        <v>410000</v>
      </c>
      <c r="I4" s="12">
        <v>168830</v>
      </c>
      <c r="J4" s="13">
        <f>I4/H4*100</f>
        <v>41.178048780487799</v>
      </c>
      <c r="K4" s="12">
        <v>337654</v>
      </c>
      <c r="L4" s="12">
        <f>H4-211896</f>
        <v>198104</v>
      </c>
      <c r="M4" s="12">
        <v>125758</v>
      </c>
      <c r="N4" s="12">
        <f>E4*0.2</f>
        <v>82000</v>
      </c>
      <c r="O4" s="14">
        <v>0.503</v>
      </c>
      <c r="P4" s="12">
        <f>L4/O4</f>
        <v>393844.93041749502</v>
      </c>
      <c r="Q4" s="15">
        <f>L4/O4/43560</f>
        <v>9.0414355008607679</v>
      </c>
      <c r="R4" s="15">
        <f>M4/O4/43560</f>
        <v>5.7395754034105746</v>
      </c>
      <c r="S4" s="10" t="s">
        <v>24</v>
      </c>
    </row>
    <row r="5" spans="1:19" x14ac:dyDescent="0.25">
      <c r="A5" s="10" t="s">
        <v>789</v>
      </c>
      <c r="B5" s="10" t="s">
        <v>790</v>
      </c>
      <c r="C5" s="10" t="s">
        <v>784</v>
      </c>
      <c r="D5" s="11">
        <v>45491</v>
      </c>
      <c r="E5" s="12">
        <v>440000</v>
      </c>
      <c r="F5" s="10" t="s">
        <v>29</v>
      </c>
      <c r="G5" s="10" t="s">
        <v>23</v>
      </c>
      <c r="H5" s="12">
        <v>440000</v>
      </c>
      <c r="I5" s="12">
        <v>166400</v>
      </c>
      <c r="J5" s="13">
        <f>I5/H5*100</f>
        <v>37.81818181818182</v>
      </c>
      <c r="K5" s="12">
        <v>332797</v>
      </c>
      <c r="L5" s="12">
        <f>H5-162216</f>
        <v>277784</v>
      </c>
      <c r="M5" s="12">
        <v>170581</v>
      </c>
      <c r="N5" s="12">
        <f>E5*0.2</f>
        <v>88000</v>
      </c>
      <c r="O5" s="14">
        <v>0.79100000000000004</v>
      </c>
      <c r="P5" s="12">
        <f>L5/O5</f>
        <v>351180.78381795192</v>
      </c>
      <c r="Q5" s="15">
        <f>L5/O5/43560</f>
        <v>8.0620014650585841</v>
      </c>
      <c r="R5" s="15">
        <f>M5/O5/43560</f>
        <v>4.9506964832789455</v>
      </c>
      <c r="S5" s="10" t="s">
        <v>24</v>
      </c>
    </row>
    <row r="6" spans="1:19" ht="15.75" thickBot="1" x14ac:dyDescent="0.3">
      <c r="A6" s="16"/>
      <c r="B6" s="16"/>
      <c r="C6" s="16"/>
      <c r="D6" s="17"/>
      <c r="E6" s="18"/>
      <c r="F6" s="16"/>
      <c r="G6" s="16"/>
      <c r="H6" s="18"/>
      <c r="I6" s="18"/>
      <c r="J6" s="19"/>
      <c r="K6" s="18"/>
      <c r="L6" s="18">
        <f>AVERAGE(L2:L5)</f>
        <v>222955</v>
      </c>
      <c r="M6" s="18">
        <f>AVERAGE(M2:M5)</f>
        <v>134351.5</v>
      </c>
      <c r="N6" s="18">
        <f>AVERAGE(N2:N5)</f>
        <v>89240</v>
      </c>
      <c r="O6" s="20"/>
      <c r="P6" s="18"/>
      <c r="Q6" s="21">
        <f>AVERAGE(Q2:Q5)</f>
        <v>8.9479702243858394</v>
      </c>
      <c r="R6" s="21">
        <f>AVERAGE(R2:R5)</f>
        <v>5.2093078668564452</v>
      </c>
      <c r="S6" s="16"/>
    </row>
    <row r="7" spans="1:19" ht="16.5" customHeight="1" thickTop="1" x14ac:dyDescent="0.25">
      <c r="A7" s="10"/>
      <c r="B7" s="10"/>
      <c r="C7" s="10"/>
      <c r="D7" s="11"/>
      <c r="E7" s="12"/>
      <c r="F7" s="10"/>
      <c r="G7" s="10"/>
      <c r="H7" s="12"/>
      <c r="I7" s="12"/>
      <c r="J7" s="13"/>
      <c r="K7" s="12"/>
      <c r="L7" s="12"/>
      <c r="M7" s="12"/>
      <c r="N7" s="12"/>
      <c r="O7" s="14"/>
      <c r="P7" s="12"/>
      <c r="Q7" s="15"/>
      <c r="R7" s="15"/>
      <c r="S7" s="10"/>
    </row>
    <row r="8" spans="1:19" x14ac:dyDescent="0.25">
      <c r="A8" s="10"/>
      <c r="B8" s="10"/>
      <c r="C8" s="10"/>
      <c r="D8" s="11"/>
      <c r="E8" s="12"/>
      <c r="F8" s="10"/>
      <c r="G8" s="10"/>
      <c r="H8" s="12"/>
      <c r="I8" s="12"/>
      <c r="J8" s="13"/>
      <c r="K8" s="12"/>
      <c r="L8" s="12"/>
      <c r="M8" s="12"/>
      <c r="N8" s="12"/>
      <c r="O8" s="14"/>
      <c r="P8" s="12"/>
      <c r="Q8" s="15"/>
      <c r="R8" s="15"/>
      <c r="S8" s="10"/>
    </row>
    <row r="9" spans="1:19" x14ac:dyDescent="0.25">
      <c r="A9" s="10" t="s">
        <v>791</v>
      </c>
      <c r="B9" s="10" t="s">
        <v>792</v>
      </c>
      <c r="C9" s="10" t="s">
        <v>793</v>
      </c>
      <c r="D9" s="11">
        <v>45106</v>
      </c>
      <c r="E9" s="12">
        <v>647500</v>
      </c>
      <c r="F9" s="10" t="s">
        <v>29</v>
      </c>
      <c r="G9" s="10" t="s">
        <v>23</v>
      </c>
      <c r="H9" s="12">
        <v>647500</v>
      </c>
      <c r="I9" s="12">
        <v>346920</v>
      </c>
      <c r="J9" s="13">
        <f t="shared" ref="J9:J14" si="0">I9/H9*100</f>
        <v>53.578378378378375</v>
      </c>
      <c r="K9" s="12">
        <v>693832</v>
      </c>
      <c r="L9" s="12">
        <f>H9-496669</f>
        <v>150831</v>
      </c>
      <c r="M9" s="12">
        <v>197163</v>
      </c>
      <c r="N9" s="12">
        <f t="shared" ref="N9:N14" si="1">E9*0.2</f>
        <v>129500</v>
      </c>
      <c r="O9" s="14">
        <v>0.70699999999999996</v>
      </c>
      <c r="P9" s="12">
        <f t="shared" ref="P9:P14" si="2">L9/O9</f>
        <v>213339.46251768034</v>
      </c>
      <c r="Q9" s="15">
        <f t="shared" ref="Q9:Q14" si="3">L9/O9/43560</f>
        <v>4.8976001496253518</v>
      </c>
      <c r="R9" s="15">
        <f t="shared" ref="R9:R14" si="4">M9/O9/43560</f>
        <v>6.4020363075268572</v>
      </c>
      <c r="S9" s="10" t="s">
        <v>24</v>
      </c>
    </row>
    <row r="10" spans="1:19" x14ac:dyDescent="0.25">
      <c r="A10" s="10" t="s">
        <v>794</v>
      </c>
      <c r="B10" s="10" t="s">
        <v>795</v>
      </c>
      <c r="C10" s="10" t="s">
        <v>793</v>
      </c>
      <c r="D10" s="11">
        <v>45197</v>
      </c>
      <c r="E10" s="12">
        <v>580000</v>
      </c>
      <c r="F10" s="10" t="s">
        <v>22</v>
      </c>
      <c r="G10" s="10" t="s">
        <v>23</v>
      </c>
      <c r="H10" s="12">
        <v>580000</v>
      </c>
      <c r="I10" s="12">
        <v>332380</v>
      </c>
      <c r="J10" s="13">
        <f t="shared" si="0"/>
        <v>57.306896551724137</v>
      </c>
      <c r="K10" s="12">
        <v>664750</v>
      </c>
      <c r="L10" s="12">
        <f>H10-496739</f>
        <v>83261</v>
      </c>
      <c r="M10" s="12">
        <v>168011</v>
      </c>
      <c r="N10" s="12">
        <f t="shared" si="1"/>
        <v>116000</v>
      </c>
      <c r="O10" s="14">
        <v>0.85699999999999998</v>
      </c>
      <c r="P10" s="12">
        <f t="shared" si="2"/>
        <v>97154.025670945164</v>
      </c>
      <c r="Q10" s="15">
        <f t="shared" si="3"/>
        <v>2.2303495333091177</v>
      </c>
      <c r="R10" s="15">
        <f t="shared" si="4"/>
        <v>4.5005855735674345</v>
      </c>
      <c r="S10" s="10" t="s">
        <v>24</v>
      </c>
    </row>
    <row r="11" spans="1:19" x14ac:dyDescent="0.25">
      <c r="A11" s="10" t="s">
        <v>796</v>
      </c>
      <c r="B11" s="10" t="s">
        <v>797</v>
      </c>
      <c r="C11" s="10" t="s">
        <v>793</v>
      </c>
      <c r="D11" s="11">
        <v>45588</v>
      </c>
      <c r="E11" s="12">
        <v>2600000</v>
      </c>
      <c r="F11" s="10" t="s">
        <v>29</v>
      </c>
      <c r="G11" s="10" t="s">
        <v>23</v>
      </c>
      <c r="H11" s="12">
        <v>2600000</v>
      </c>
      <c r="I11" s="12">
        <v>937970</v>
      </c>
      <c r="J11" s="13">
        <f t="shared" si="0"/>
        <v>36.075769230769232</v>
      </c>
      <c r="K11" s="12">
        <v>1875945</v>
      </c>
      <c r="L11" s="12">
        <f>H11-1646166</f>
        <v>953834</v>
      </c>
      <c r="M11" s="12">
        <v>229779</v>
      </c>
      <c r="N11" s="12">
        <f t="shared" si="1"/>
        <v>520000</v>
      </c>
      <c r="O11" s="14">
        <v>1.44</v>
      </c>
      <c r="P11" s="12">
        <f t="shared" si="2"/>
        <v>662384.72222222225</v>
      </c>
      <c r="Q11" s="15">
        <f t="shared" si="3"/>
        <v>15.206260840730538</v>
      </c>
      <c r="R11" s="15">
        <f t="shared" si="4"/>
        <v>3.6631944444444446</v>
      </c>
      <c r="S11" s="10" t="s">
        <v>24</v>
      </c>
    </row>
    <row r="12" spans="1:19" x14ac:dyDescent="0.25">
      <c r="A12" s="10" t="s">
        <v>798</v>
      </c>
      <c r="B12" s="10" t="s">
        <v>799</v>
      </c>
      <c r="C12" s="10" t="s">
        <v>793</v>
      </c>
      <c r="D12" s="11">
        <v>45580</v>
      </c>
      <c r="E12" s="12">
        <v>3450000</v>
      </c>
      <c r="F12" s="10" t="s">
        <v>22</v>
      </c>
      <c r="G12" s="10" t="s">
        <v>23</v>
      </c>
      <c r="H12" s="12">
        <v>3450000</v>
      </c>
      <c r="I12" s="12">
        <v>1360890</v>
      </c>
      <c r="J12" s="13">
        <f t="shared" si="0"/>
        <v>39.446086956521739</v>
      </c>
      <c r="K12" s="12">
        <v>2721776</v>
      </c>
      <c r="L12" s="12">
        <f>H12-2528152</f>
        <v>921848</v>
      </c>
      <c r="M12" s="12">
        <v>193624</v>
      </c>
      <c r="N12" s="12">
        <f t="shared" si="1"/>
        <v>690000</v>
      </c>
      <c r="O12" s="14">
        <v>1.89</v>
      </c>
      <c r="P12" s="12">
        <f t="shared" si="2"/>
        <v>487750.26455026458</v>
      </c>
      <c r="Q12" s="15">
        <f t="shared" si="3"/>
        <v>11.197205338619481</v>
      </c>
      <c r="R12" s="15">
        <f t="shared" si="4"/>
        <v>2.3518494225564934</v>
      </c>
      <c r="S12" s="10" t="s">
        <v>24</v>
      </c>
    </row>
    <row r="13" spans="1:19" x14ac:dyDescent="0.25">
      <c r="A13" s="10" t="s">
        <v>800</v>
      </c>
      <c r="B13" s="10" t="s">
        <v>801</v>
      </c>
      <c r="C13" s="10" t="s">
        <v>793</v>
      </c>
      <c r="D13" s="11">
        <v>45240</v>
      </c>
      <c r="E13" s="12">
        <v>610000</v>
      </c>
      <c r="F13" s="10" t="s">
        <v>22</v>
      </c>
      <c r="G13" s="10" t="s">
        <v>23</v>
      </c>
      <c r="H13" s="12">
        <v>610000</v>
      </c>
      <c r="I13" s="12">
        <v>307060</v>
      </c>
      <c r="J13" s="13">
        <f t="shared" si="0"/>
        <v>50.337704918032792</v>
      </c>
      <c r="K13" s="12">
        <v>614125</v>
      </c>
      <c r="L13" s="12">
        <f>H13-425292</f>
        <v>184708</v>
      </c>
      <c r="M13" s="12">
        <v>188833</v>
      </c>
      <c r="N13" s="12">
        <f t="shared" si="1"/>
        <v>122000</v>
      </c>
      <c r="O13" s="14">
        <v>0.65600000000000003</v>
      </c>
      <c r="P13" s="12">
        <f t="shared" si="2"/>
        <v>281567.07317073172</v>
      </c>
      <c r="Q13" s="15">
        <f t="shared" si="3"/>
        <v>6.463890568657753</v>
      </c>
      <c r="R13" s="15">
        <f t="shared" si="4"/>
        <v>6.6082457053909378</v>
      </c>
      <c r="S13" s="10" t="s">
        <v>24</v>
      </c>
    </row>
    <row r="14" spans="1:19" x14ac:dyDescent="0.25">
      <c r="A14" s="10" t="s">
        <v>802</v>
      </c>
      <c r="B14" s="10" t="s">
        <v>803</v>
      </c>
      <c r="C14" s="10" t="s">
        <v>793</v>
      </c>
      <c r="D14" s="11">
        <v>45392</v>
      </c>
      <c r="E14" s="12">
        <v>1435000</v>
      </c>
      <c r="F14" s="10" t="s">
        <v>29</v>
      </c>
      <c r="G14" s="10" t="s">
        <v>23</v>
      </c>
      <c r="H14" s="12">
        <v>1435000</v>
      </c>
      <c r="I14" s="12">
        <v>663750</v>
      </c>
      <c r="J14" s="13">
        <f t="shared" si="0"/>
        <v>46.254355400696859</v>
      </c>
      <c r="K14" s="12">
        <v>1327503</v>
      </c>
      <c r="L14" s="12">
        <f>H14-1150268</f>
        <v>284732</v>
      </c>
      <c r="M14" s="12">
        <v>177235</v>
      </c>
      <c r="N14" s="12">
        <f t="shared" si="1"/>
        <v>287000</v>
      </c>
      <c r="O14" s="14">
        <v>0.58499999999999996</v>
      </c>
      <c r="P14" s="12">
        <f t="shared" si="2"/>
        <v>486721.36752136756</v>
      </c>
      <c r="Q14" s="15">
        <f t="shared" si="3"/>
        <v>11.173585112979053</v>
      </c>
      <c r="R14" s="15">
        <f t="shared" si="4"/>
        <v>6.955138015744077</v>
      </c>
      <c r="S14" s="10" t="s">
        <v>24</v>
      </c>
    </row>
    <row r="15" spans="1:19" ht="15.75" thickBot="1" x14ac:dyDescent="0.3">
      <c r="A15" s="16"/>
      <c r="B15" s="16"/>
      <c r="C15" s="16"/>
      <c r="D15" s="17"/>
      <c r="E15" s="18"/>
      <c r="F15" s="16"/>
      <c r="G15" s="16"/>
      <c r="H15" s="18"/>
      <c r="I15" s="18"/>
      <c r="J15" s="19"/>
      <c r="K15" s="18"/>
      <c r="L15" s="18">
        <f>AVERAGE(L9:L14)</f>
        <v>429869</v>
      </c>
      <c r="M15" s="18">
        <f>AVERAGE(M9:M14)</f>
        <v>192440.83333333334</v>
      </c>
      <c r="N15" s="18">
        <f>AVERAGE(N9:N14)</f>
        <v>310750</v>
      </c>
      <c r="O15" s="20"/>
      <c r="P15" s="18"/>
      <c r="Q15" s="21">
        <f>AVERAGE(Q9:Q14)</f>
        <v>8.528148590653549</v>
      </c>
      <c r="R15" s="21">
        <f>AVERAGE(R9:R14)</f>
        <v>5.0801749115383741</v>
      </c>
      <c r="S15" s="16"/>
    </row>
    <row r="16" spans="1:19" ht="15.75" thickTop="1" x14ac:dyDescent="0.25">
      <c r="A16" s="10"/>
      <c r="B16" s="10"/>
      <c r="C16" s="10"/>
      <c r="D16" s="11"/>
      <c r="E16" s="12"/>
      <c r="F16" s="10"/>
      <c r="G16" s="10"/>
      <c r="H16" s="12"/>
      <c r="I16" s="12"/>
      <c r="J16" s="13"/>
      <c r="K16" s="12"/>
      <c r="L16" s="12"/>
      <c r="M16" s="12"/>
      <c r="N16" s="12"/>
      <c r="O16" s="14"/>
      <c r="P16" s="12"/>
      <c r="Q16" s="15"/>
      <c r="R16" s="15"/>
      <c r="S16" s="10"/>
    </row>
    <row r="17" spans="1:19" x14ac:dyDescent="0.25">
      <c r="A17" s="10"/>
      <c r="B17" s="10"/>
      <c r="C17" s="10"/>
      <c r="D17" s="11"/>
      <c r="E17" s="12"/>
      <c r="F17" s="10"/>
      <c r="G17" s="10"/>
      <c r="H17" s="12"/>
      <c r="I17" s="12"/>
      <c r="J17" s="13"/>
      <c r="K17" s="12"/>
      <c r="L17" s="12"/>
      <c r="M17" s="12"/>
      <c r="N17" s="12"/>
      <c r="O17" s="14"/>
      <c r="P17" s="12"/>
      <c r="Q17" s="15"/>
      <c r="R17" s="15"/>
      <c r="S17" s="10"/>
    </row>
    <row r="18" spans="1:19" x14ac:dyDescent="0.25">
      <c r="A18" s="10" t="s">
        <v>804</v>
      </c>
      <c r="B18" s="10" t="s">
        <v>805</v>
      </c>
      <c r="C18" s="10" t="s">
        <v>806</v>
      </c>
      <c r="D18" s="11">
        <v>45702</v>
      </c>
      <c r="E18" s="12">
        <v>1221500</v>
      </c>
      <c r="F18" s="10" t="s">
        <v>29</v>
      </c>
      <c r="G18" s="10" t="s">
        <v>23</v>
      </c>
      <c r="H18" s="12">
        <v>1221500</v>
      </c>
      <c r="I18" s="12">
        <v>424590</v>
      </c>
      <c r="J18" s="13">
        <f>I18/H18*100</f>
        <v>34.75972165370446</v>
      </c>
      <c r="K18" s="12">
        <v>849173</v>
      </c>
      <c r="L18" s="12">
        <f>H18-360321</f>
        <v>861179</v>
      </c>
      <c r="M18" s="12">
        <v>488852</v>
      </c>
      <c r="N18" s="12">
        <f>E18*0.2</f>
        <v>244300</v>
      </c>
      <c r="O18" s="14">
        <v>1.19</v>
      </c>
      <c r="P18" s="12">
        <f>L18/O18</f>
        <v>723679.83193277312</v>
      </c>
      <c r="Q18" s="15">
        <f>L18/O18/43560</f>
        <v>16.613402936932349</v>
      </c>
      <c r="R18" s="15">
        <f>M18/O18/43560</f>
        <v>9.4306703397612495</v>
      </c>
      <c r="S18" s="10" t="s">
        <v>24</v>
      </c>
    </row>
    <row r="19" spans="1:19" x14ac:dyDescent="0.25">
      <c r="A19" s="10" t="s">
        <v>807</v>
      </c>
      <c r="B19" s="10" t="s">
        <v>808</v>
      </c>
      <c r="C19" s="10" t="s">
        <v>806</v>
      </c>
      <c r="D19" s="11">
        <v>45316</v>
      </c>
      <c r="E19" s="12">
        <v>2950000</v>
      </c>
      <c r="F19" s="10" t="s">
        <v>29</v>
      </c>
      <c r="G19" s="10" t="s">
        <v>23</v>
      </c>
      <c r="H19" s="12">
        <v>2950000</v>
      </c>
      <c r="I19" s="12">
        <v>1601540</v>
      </c>
      <c r="J19" s="13">
        <f>I19/H19*100</f>
        <v>54.289491525423728</v>
      </c>
      <c r="K19" s="12">
        <v>3203084</v>
      </c>
      <c r="L19" s="12">
        <f>H19-2717942</f>
        <v>232058</v>
      </c>
      <c r="M19" s="12">
        <v>485142</v>
      </c>
      <c r="N19" s="12">
        <f>E19*0.2</f>
        <v>590000</v>
      </c>
      <c r="O19" s="14">
        <v>1.524</v>
      </c>
      <c r="P19" s="12">
        <f>L19/O19</f>
        <v>152269.02887139108</v>
      </c>
      <c r="Q19" s="15">
        <f>L19/O19/43560</f>
        <v>3.4956159061384549</v>
      </c>
      <c r="R19" s="15">
        <f>M19/O19/43560</f>
        <v>7.3079578895613251</v>
      </c>
      <c r="S19" s="10" t="s">
        <v>24</v>
      </c>
    </row>
    <row r="20" spans="1:19" x14ac:dyDescent="0.25">
      <c r="A20" s="10" t="s">
        <v>809</v>
      </c>
      <c r="B20" s="10" t="s">
        <v>810</v>
      </c>
      <c r="C20" s="10" t="s">
        <v>806</v>
      </c>
      <c r="D20" s="11">
        <v>45113</v>
      </c>
      <c r="E20" s="12">
        <v>825000</v>
      </c>
      <c r="F20" s="10" t="s">
        <v>29</v>
      </c>
      <c r="G20" s="10" t="s">
        <v>23</v>
      </c>
      <c r="H20" s="12">
        <v>825000</v>
      </c>
      <c r="I20" s="12">
        <v>307540</v>
      </c>
      <c r="J20" s="13">
        <f>I20/H20*100</f>
        <v>37.277575757575761</v>
      </c>
      <c r="K20" s="12">
        <v>615070</v>
      </c>
      <c r="L20" s="12">
        <f>H20-301438</f>
        <v>523562</v>
      </c>
      <c r="M20" s="12">
        <v>313632</v>
      </c>
      <c r="N20" s="12">
        <f>E20*0.2</f>
        <v>165000</v>
      </c>
      <c r="O20" s="14">
        <v>0.4</v>
      </c>
      <c r="P20" s="12">
        <f>L20/O20</f>
        <v>1308905</v>
      </c>
      <c r="Q20" s="15">
        <f>L20/O20/43560</f>
        <v>30.048324150596876</v>
      </c>
      <c r="R20" s="15">
        <f>M20/O20/43560</f>
        <v>18</v>
      </c>
      <c r="S20" s="10" t="s">
        <v>24</v>
      </c>
    </row>
    <row r="21" spans="1:19" ht="15.75" thickBot="1" x14ac:dyDescent="0.3">
      <c r="A21" s="16"/>
      <c r="B21" s="16"/>
      <c r="C21" s="16"/>
      <c r="D21" s="17"/>
      <c r="E21" s="18"/>
      <c r="F21" s="16"/>
      <c r="G21" s="16"/>
      <c r="H21" s="18"/>
      <c r="I21" s="18"/>
      <c r="J21" s="19"/>
      <c r="K21" s="18"/>
      <c r="L21" s="18">
        <f>AVERAGE(L18:L20)</f>
        <v>538933</v>
      </c>
      <c r="M21" s="18">
        <f>AVERAGE(M18:M20)</f>
        <v>429208.66666666669</v>
      </c>
      <c r="N21" s="18">
        <f>AVERAGE(N18:N20)</f>
        <v>333100</v>
      </c>
      <c r="O21" s="20"/>
      <c r="P21" s="18"/>
      <c r="Q21" s="21">
        <f>AVERAGE(Q18:Q20)</f>
        <v>16.71911433122256</v>
      </c>
      <c r="R21" s="21">
        <f>AVERAGE(R18:R20)</f>
        <v>11.579542743107524</v>
      </c>
      <c r="S21" s="16"/>
    </row>
    <row r="22" spans="1:19" ht="15.75" thickTop="1" x14ac:dyDescent="0.25">
      <c r="A22" s="10"/>
      <c r="B22" s="10"/>
      <c r="C22" s="10"/>
      <c r="D22" s="11"/>
      <c r="E22" s="12"/>
      <c r="F22" s="10"/>
      <c r="G22" s="10"/>
      <c r="H22" s="12"/>
      <c r="I22" s="12"/>
      <c r="J22" s="13"/>
      <c r="K22" s="12"/>
      <c r="L22" s="12"/>
      <c r="M22" s="12"/>
      <c r="N22" s="12"/>
      <c r="O22" s="14"/>
      <c r="P22" s="12"/>
      <c r="Q22" s="15"/>
      <c r="R22" s="15"/>
      <c r="S22" s="10"/>
    </row>
    <row r="23" spans="1:19" x14ac:dyDescent="0.25">
      <c r="A23" s="10"/>
      <c r="B23" s="10"/>
      <c r="C23" s="10"/>
      <c r="D23" s="11"/>
      <c r="E23" s="12"/>
      <c r="F23" s="10"/>
      <c r="G23" s="10"/>
      <c r="H23" s="12"/>
      <c r="I23" s="12"/>
      <c r="J23" s="13"/>
      <c r="K23" s="12"/>
      <c r="L23" s="12"/>
      <c r="M23" s="12"/>
      <c r="N23" s="12"/>
      <c r="O23" s="14"/>
      <c r="P23" s="12"/>
      <c r="Q23" s="15"/>
      <c r="R23" s="15"/>
      <c r="S23" s="10"/>
    </row>
    <row r="24" spans="1:19" x14ac:dyDescent="0.25">
      <c r="A24" s="10" t="s">
        <v>811</v>
      </c>
      <c r="B24" s="10" t="s">
        <v>812</v>
      </c>
      <c r="C24" s="10" t="s">
        <v>813</v>
      </c>
      <c r="D24" s="11">
        <v>45204</v>
      </c>
      <c r="E24" s="12">
        <v>4518000</v>
      </c>
      <c r="F24" s="10" t="s">
        <v>22</v>
      </c>
      <c r="G24" s="10" t="s">
        <v>23</v>
      </c>
      <c r="H24" s="12">
        <v>4518000</v>
      </c>
      <c r="I24" s="12">
        <v>1678800</v>
      </c>
      <c r="J24" s="13">
        <f>I24/H24*100</f>
        <v>37.158034528552456</v>
      </c>
      <c r="K24" s="12">
        <v>3357600</v>
      </c>
      <c r="L24" s="12">
        <f>H24-2504586</f>
        <v>2013414</v>
      </c>
      <c r="M24" s="12">
        <v>853014</v>
      </c>
      <c r="N24" s="12">
        <f>E24*0.2</f>
        <v>903600</v>
      </c>
      <c r="O24" s="14">
        <v>0.88</v>
      </c>
      <c r="P24" s="12">
        <f>L24/O24</f>
        <v>2287970.4545454546</v>
      </c>
      <c r="Q24" s="15">
        <f>L24/O24/43560</f>
        <v>52.52457425494616</v>
      </c>
      <c r="R24" s="15">
        <f>M24/O24/43560</f>
        <v>22.252848735286751</v>
      </c>
      <c r="S24" s="10" t="s">
        <v>24</v>
      </c>
    </row>
    <row r="25" spans="1:19" x14ac:dyDescent="0.25">
      <c r="A25" s="10" t="s">
        <v>814</v>
      </c>
      <c r="B25" s="10" t="s">
        <v>815</v>
      </c>
      <c r="C25" s="10" t="s">
        <v>813</v>
      </c>
      <c r="D25" s="11">
        <v>45079</v>
      </c>
      <c r="E25" s="12">
        <v>4300000</v>
      </c>
      <c r="F25" s="10" t="s">
        <v>29</v>
      </c>
      <c r="G25" s="10" t="s">
        <v>23</v>
      </c>
      <c r="H25" s="12">
        <v>4300000</v>
      </c>
      <c r="I25" s="12">
        <v>2147020</v>
      </c>
      <c r="J25" s="13">
        <f>I25/H25*100</f>
        <v>49.930697674418603</v>
      </c>
      <c r="K25" s="12">
        <v>4294030</v>
      </c>
      <c r="L25" s="12">
        <f>H25-3483814</f>
        <v>816186</v>
      </c>
      <c r="M25" s="12">
        <v>810216</v>
      </c>
      <c r="N25" s="12">
        <f>E25*0.2</f>
        <v>860000</v>
      </c>
      <c r="O25" s="14">
        <v>0.87</v>
      </c>
      <c r="P25" s="12">
        <f>L25/O25</f>
        <v>938144.82758620696</v>
      </c>
      <c r="Q25" s="15">
        <f>L25/O25/43560</f>
        <v>21.53684177195149</v>
      </c>
      <c r="R25" s="15">
        <f>M25/O25/43560</f>
        <v>21.379310344827587</v>
      </c>
      <c r="S25" s="10" t="s">
        <v>24</v>
      </c>
    </row>
    <row r="26" spans="1:19" x14ac:dyDescent="0.25">
      <c r="A26" s="10" t="s">
        <v>816</v>
      </c>
      <c r="B26" s="10" t="s">
        <v>817</v>
      </c>
      <c r="C26" s="10" t="s">
        <v>813</v>
      </c>
      <c r="D26" s="11">
        <v>45128</v>
      </c>
      <c r="E26" s="12">
        <v>3125000</v>
      </c>
      <c r="F26" s="10" t="s">
        <v>29</v>
      </c>
      <c r="G26" s="10" t="s">
        <v>23</v>
      </c>
      <c r="H26" s="12">
        <v>3125000</v>
      </c>
      <c r="I26" s="12">
        <v>1478610</v>
      </c>
      <c r="J26" s="13">
        <f>I26/H26*100</f>
        <v>47.315519999999999</v>
      </c>
      <c r="K26" s="12">
        <v>2957211</v>
      </c>
      <c r="L26" s="12">
        <f>H26-2195782</f>
        <v>929218</v>
      </c>
      <c r="M26" s="12">
        <v>761429</v>
      </c>
      <c r="N26" s="12">
        <f>E26*0.2</f>
        <v>625000</v>
      </c>
      <c r="O26" s="14">
        <v>0.83</v>
      </c>
      <c r="P26" s="12">
        <f>L26/O26</f>
        <v>1119539.7590361447</v>
      </c>
      <c r="Q26" s="15">
        <f>L26/O26/43560</f>
        <v>25.70109639660571</v>
      </c>
      <c r="R26" s="15">
        <f>M26/O26/43560</f>
        <v>21.060246495624369</v>
      </c>
      <c r="S26" s="10" t="s">
        <v>24</v>
      </c>
    </row>
    <row r="27" spans="1:19" x14ac:dyDescent="0.25">
      <c r="A27" s="10" t="s">
        <v>818</v>
      </c>
      <c r="B27" s="10" t="s">
        <v>630</v>
      </c>
      <c r="C27" s="10" t="s">
        <v>813</v>
      </c>
      <c r="D27" s="11">
        <v>45435</v>
      </c>
      <c r="E27" s="12">
        <v>45000</v>
      </c>
      <c r="F27" s="10" t="s">
        <v>22</v>
      </c>
      <c r="G27" s="10" t="s">
        <v>23</v>
      </c>
      <c r="H27" s="12">
        <v>45000</v>
      </c>
      <c r="I27" s="12">
        <v>4870</v>
      </c>
      <c r="J27" s="13">
        <f>I27/H27*100</f>
        <v>10.822222222222223</v>
      </c>
      <c r="K27" s="12">
        <v>9747</v>
      </c>
      <c r="L27" s="12">
        <f>H27-0</f>
        <v>45000</v>
      </c>
      <c r="M27" s="12">
        <v>9747</v>
      </c>
      <c r="N27" s="12">
        <f>E27*0.2</f>
        <v>9000</v>
      </c>
      <c r="O27" s="14">
        <v>1.7000000000000001E-2</v>
      </c>
      <c r="P27" s="12">
        <f>L27/O27</f>
        <v>2647058.8235294116</v>
      </c>
      <c r="Q27" s="15">
        <f>L27/O27/43560</f>
        <v>60.768108896451139</v>
      </c>
      <c r="R27" s="15">
        <f>M27/O27/43560</f>
        <v>13.162372386971319</v>
      </c>
      <c r="S27" s="10" t="s">
        <v>504</v>
      </c>
    </row>
    <row r="28" spans="1:19" x14ac:dyDescent="0.25">
      <c r="A28" s="10" t="s">
        <v>819</v>
      </c>
      <c r="B28" s="10" t="s">
        <v>630</v>
      </c>
      <c r="C28" s="10" t="s">
        <v>813</v>
      </c>
      <c r="D28" s="11">
        <v>45407</v>
      </c>
      <c r="E28" s="12">
        <v>800000</v>
      </c>
      <c r="F28" s="10" t="s">
        <v>29</v>
      </c>
      <c r="G28" s="10" t="s">
        <v>23</v>
      </c>
      <c r="H28" s="12">
        <v>800000</v>
      </c>
      <c r="I28" s="12">
        <v>7330</v>
      </c>
      <c r="J28" s="13">
        <f>I28/H28*100</f>
        <v>0.91625000000000001</v>
      </c>
      <c r="K28" s="12">
        <v>14658</v>
      </c>
      <c r="L28" s="12">
        <f>H28-0</f>
        <v>800000</v>
      </c>
      <c r="M28" s="12">
        <v>14658</v>
      </c>
      <c r="N28" s="12">
        <f>E28*0.2</f>
        <v>160000</v>
      </c>
      <c r="O28" s="14">
        <v>0.28000000000000003</v>
      </c>
      <c r="P28" s="12">
        <f>L28/O28</f>
        <v>2857142.8571428568</v>
      </c>
      <c r="Q28" s="15">
        <f>L28/O28/43560</f>
        <v>65.590974681883765</v>
      </c>
      <c r="R28" s="15">
        <f>M28/O28/43560</f>
        <v>1.2017906336088153</v>
      </c>
      <c r="S28" s="10" t="s">
        <v>504</v>
      </c>
    </row>
    <row r="29" spans="1:19" ht="15.75" thickBot="1" x14ac:dyDescent="0.3">
      <c r="A29" s="16"/>
      <c r="B29" s="16"/>
      <c r="C29" s="16"/>
      <c r="D29" s="17"/>
      <c r="E29" s="18"/>
      <c r="F29" s="16"/>
      <c r="G29" s="16"/>
      <c r="H29" s="18"/>
      <c r="I29" s="18"/>
      <c r="J29" s="19"/>
      <c r="K29" s="18"/>
      <c r="L29" s="18">
        <f>AVERAGE(L24:L28)</f>
        <v>920763.6</v>
      </c>
      <c r="M29" s="18">
        <f>AVERAGE(M24:M28)</f>
        <v>489812.8</v>
      </c>
      <c r="N29" s="18">
        <f>AVERAGE(N24:N28)</f>
        <v>511520</v>
      </c>
      <c r="O29" s="20"/>
      <c r="P29" s="18"/>
      <c r="Q29" s="21">
        <f>AVERAGE(Q24:Q28)</f>
        <v>45.224319200367653</v>
      </c>
      <c r="R29" s="21">
        <f>AVERAGE(R24:R28)</f>
        <v>15.811313719263765</v>
      </c>
      <c r="S29" s="16"/>
    </row>
    <row r="30" spans="1:19" ht="15.75" thickTop="1" x14ac:dyDescent="0.25">
      <c r="A30" s="10"/>
      <c r="B30" s="10"/>
      <c r="C30" s="10"/>
      <c r="D30" s="11"/>
      <c r="E30" s="12"/>
      <c r="F30" s="10"/>
      <c r="G30" s="10"/>
      <c r="H30" s="12"/>
      <c r="I30" s="12"/>
      <c r="J30" s="13"/>
      <c r="K30" s="12"/>
      <c r="L30" s="12"/>
      <c r="M30" s="12"/>
      <c r="N30" s="12"/>
      <c r="O30" s="14"/>
      <c r="P30" s="12"/>
      <c r="Q30" s="15"/>
      <c r="R30" s="15"/>
      <c r="S30" s="10"/>
    </row>
    <row r="31" spans="1:19" x14ac:dyDescent="0.25">
      <c r="A31" s="10"/>
      <c r="B31" s="10"/>
      <c r="C31" s="10"/>
      <c r="D31" s="11"/>
      <c r="E31" s="12"/>
      <c r="F31" s="10"/>
      <c r="G31" s="10"/>
      <c r="H31" s="12"/>
      <c r="I31" s="12"/>
      <c r="J31" s="13"/>
      <c r="K31" s="12"/>
      <c r="L31" s="12"/>
      <c r="M31" s="12"/>
      <c r="N31" s="12"/>
      <c r="O31" s="14"/>
      <c r="P31" s="12"/>
      <c r="Q31" s="15"/>
      <c r="R31" s="15"/>
      <c r="S31" s="10"/>
    </row>
    <row r="32" spans="1:19" x14ac:dyDescent="0.25">
      <c r="A32" s="10" t="s">
        <v>820</v>
      </c>
      <c r="B32" s="10" t="s">
        <v>821</v>
      </c>
      <c r="C32" s="10" t="s">
        <v>822</v>
      </c>
      <c r="D32" s="11">
        <v>45094</v>
      </c>
      <c r="E32" s="12">
        <v>715000</v>
      </c>
      <c r="F32" s="10" t="s">
        <v>29</v>
      </c>
      <c r="G32" s="10" t="s">
        <v>23</v>
      </c>
      <c r="H32" s="12">
        <v>715000</v>
      </c>
      <c r="I32" s="12">
        <v>360060</v>
      </c>
      <c r="J32" s="13">
        <f>I32/H32*100</f>
        <v>50.358041958041952</v>
      </c>
      <c r="K32" s="12">
        <v>720112</v>
      </c>
      <c r="L32" s="12">
        <f>H32-453851</f>
        <v>261149</v>
      </c>
      <c r="M32" s="12">
        <v>266261</v>
      </c>
      <c r="N32" s="12">
        <f>E32*0.2</f>
        <v>143000</v>
      </c>
      <c r="O32" s="14">
        <v>0.48899999999999999</v>
      </c>
      <c r="P32" s="12">
        <f>L32/O32</f>
        <v>534047.03476482618</v>
      </c>
      <c r="Q32" s="15">
        <f>L32/O32/43560</f>
        <v>12.260032937668186</v>
      </c>
      <c r="R32" s="15">
        <f>M32/O32/43560</f>
        <v>12.5000234732527</v>
      </c>
      <c r="S32" s="10" t="s">
        <v>24</v>
      </c>
    </row>
    <row r="33" spans="1:19" x14ac:dyDescent="0.25">
      <c r="A33" s="10" t="s">
        <v>823</v>
      </c>
      <c r="B33" s="10" t="s">
        <v>824</v>
      </c>
      <c r="C33" s="10" t="s">
        <v>822</v>
      </c>
      <c r="D33" s="11">
        <v>45252</v>
      </c>
      <c r="E33" s="12">
        <v>525000</v>
      </c>
      <c r="F33" s="10" t="s">
        <v>22</v>
      </c>
      <c r="G33" s="10" t="s">
        <v>23</v>
      </c>
      <c r="H33" s="12">
        <v>525000</v>
      </c>
      <c r="I33" s="12">
        <v>277760</v>
      </c>
      <c r="J33" s="13">
        <f>I33/H33*100</f>
        <v>52.906666666666666</v>
      </c>
      <c r="K33" s="12">
        <v>555515</v>
      </c>
      <c r="L33" s="12">
        <f>H33-291977</f>
        <v>233023</v>
      </c>
      <c r="M33" s="12">
        <v>263538</v>
      </c>
      <c r="N33" s="12">
        <f>E33*0.2</f>
        <v>105000</v>
      </c>
      <c r="O33" s="14">
        <v>0.48399999999999999</v>
      </c>
      <c r="P33" s="12">
        <f>L33/O33</f>
        <v>481452.47933884297</v>
      </c>
      <c r="Q33" s="15">
        <f>L33/O33/43560</f>
        <v>11.052628083995478</v>
      </c>
      <c r="R33" s="15">
        <f>M33/O33/43560</f>
        <v>12.5</v>
      </c>
      <c r="S33" s="10" t="s">
        <v>24</v>
      </c>
    </row>
    <row r="34" spans="1:19" x14ac:dyDescent="0.25">
      <c r="A34" s="10" t="s">
        <v>825</v>
      </c>
      <c r="B34" s="10" t="s">
        <v>826</v>
      </c>
      <c r="C34" s="10" t="s">
        <v>822</v>
      </c>
      <c r="D34" s="11">
        <v>45162</v>
      </c>
      <c r="E34" s="12">
        <v>970000</v>
      </c>
      <c r="F34" s="10" t="s">
        <v>22</v>
      </c>
      <c r="G34" s="10" t="s">
        <v>23</v>
      </c>
      <c r="H34" s="12">
        <v>970000</v>
      </c>
      <c r="I34" s="12">
        <v>399800</v>
      </c>
      <c r="J34" s="13">
        <f>I34/H34*100</f>
        <v>41.21649484536082</v>
      </c>
      <c r="K34" s="12">
        <v>799598</v>
      </c>
      <c r="L34" s="12">
        <f>H34-470023</f>
        <v>499977</v>
      </c>
      <c r="M34" s="12">
        <v>329575</v>
      </c>
      <c r="N34" s="12">
        <f>E34*0.2</f>
        <v>194000</v>
      </c>
      <c r="O34" s="14">
        <v>0.68799999999999994</v>
      </c>
      <c r="P34" s="12">
        <f>L34/O34</f>
        <v>726710.75581395358</v>
      </c>
      <c r="Q34" s="15">
        <f>L34/O34/43560</f>
        <v>16.682983374975979</v>
      </c>
      <c r="R34" s="15">
        <f>M34/O34/43560</f>
        <v>10.997094357955881</v>
      </c>
      <c r="S34" s="10" t="s">
        <v>24</v>
      </c>
    </row>
    <row r="35" spans="1:19" ht="15.75" thickBot="1" x14ac:dyDescent="0.3">
      <c r="A35" s="16"/>
      <c r="B35" s="16"/>
      <c r="C35" s="16"/>
      <c r="D35" s="17"/>
      <c r="E35" s="18"/>
      <c r="F35" s="16"/>
      <c r="G35" s="16"/>
      <c r="H35" s="18"/>
      <c r="I35" s="18"/>
      <c r="J35" s="19"/>
      <c r="K35" s="18"/>
      <c r="L35" s="18">
        <f>AVERAGE(L32:L34)</f>
        <v>331383</v>
      </c>
      <c r="M35" s="18">
        <f>AVERAGE(M32:M34)</f>
        <v>286458</v>
      </c>
      <c r="N35" s="18">
        <f>AVERAGE(N32:N34)</f>
        <v>147333.33333333334</v>
      </c>
      <c r="O35" s="20"/>
      <c r="P35" s="18"/>
      <c r="Q35" s="21">
        <f>AVERAGE(Q32:Q34)</f>
        <v>13.33188146554655</v>
      </c>
      <c r="R35" s="21">
        <f>AVERAGE(R32:R34)</f>
        <v>11.999039277069528</v>
      </c>
      <c r="S35" s="16"/>
    </row>
    <row r="36" spans="1:19" ht="15.75" thickTop="1" x14ac:dyDescent="0.25">
      <c r="A36" s="10"/>
      <c r="B36" s="10"/>
      <c r="C36" s="10"/>
      <c r="D36" s="11"/>
      <c r="E36" s="12"/>
      <c r="F36" s="10"/>
      <c r="G36" s="10"/>
      <c r="H36" s="12"/>
      <c r="I36" s="12"/>
      <c r="J36" s="13"/>
      <c r="K36" s="12"/>
      <c r="L36" s="12"/>
      <c r="M36" s="12"/>
      <c r="N36" s="12"/>
      <c r="O36" s="14"/>
      <c r="P36" s="12"/>
      <c r="Q36" s="15"/>
      <c r="R36" s="15"/>
      <c r="S36" s="10"/>
    </row>
    <row r="37" spans="1:19" x14ac:dyDescent="0.25">
      <c r="A37" s="10"/>
      <c r="B37" s="10"/>
      <c r="C37" s="10"/>
      <c r="D37" s="11"/>
      <c r="E37" s="12"/>
      <c r="F37" s="10"/>
      <c r="G37" s="10"/>
      <c r="H37" s="12"/>
      <c r="I37" s="12"/>
      <c r="J37" s="13"/>
      <c r="K37" s="12"/>
      <c r="L37" s="12"/>
      <c r="M37" s="12"/>
      <c r="N37" s="12"/>
      <c r="O37" s="14"/>
      <c r="P37" s="12"/>
      <c r="Q37" s="15"/>
      <c r="R37" s="15"/>
      <c r="S37" s="10"/>
    </row>
    <row r="38" spans="1:19" x14ac:dyDescent="0.25">
      <c r="A38" s="10" t="s">
        <v>827</v>
      </c>
      <c r="B38" s="10" t="s">
        <v>828</v>
      </c>
      <c r="C38" s="10" t="s">
        <v>829</v>
      </c>
      <c r="D38" s="11">
        <v>45457</v>
      </c>
      <c r="E38" s="12">
        <v>2675000</v>
      </c>
      <c r="F38" s="10" t="s">
        <v>22</v>
      </c>
      <c r="G38" s="10" t="s">
        <v>23</v>
      </c>
      <c r="H38" s="12">
        <v>2675000</v>
      </c>
      <c r="I38" s="12">
        <v>1238700</v>
      </c>
      <c r="J38" s="13">
        <f>I38/H38*100</f>
        <v>46.306542056074768</v>
      </c>
      <c r="K38" s="12">
        <v>2477397</v>
      </c>
      <c r="L38" s="12">
        <f>H38-1936600</f>
        <v>738400</v>
      </c>
      <c r="M38" s="12">
        <v>540797</v>
      </c>
      <c r="N38" s="12">
        <f>E38*0.2</f>
        <v>535000</v>
      </c>
      <c r="O38" s="14">
        <v>0.91600000000000004</v>
      </c>
      <c r="P38" s="12">
        <f>L38/O38</f>
        <v>806113.53711790394</v>
      </c>
      <c r="Q38" s="15">
        <f>L38/O38/43560</f>
        <v>18.505820411338473</v>
      </c>
      <c r="R38" s="15">
        <f>M38/O38/43560</f>
        <v>13.5534834249602</v>
      </c>
      <c r="S38" s="10" t="s">
        <v>24</v>
      </c>
    </row>
    <row r="39" spans="1:19" ht="15.75" thickBot="1" x14ac:dyDescent="0.3">
      <c r="A39" s="16"/>
      <c r="B39" s="16"/>
      <c r="C39" s="16"/>
      <c r="D39" s="17"/>
      <c r="E39" s="18"/>
      <c r="F39" s="16"/>
      <c r="G39" s="16"/>
      <c r="H39" s="18"/>
      <c r="I39" s="18"/>
      <c r="J39" s="19"/>
      <c r="K39" s="18"/>
      <c r="L39" s="18">
        <f>AVERAGE(L38)</f>
        <v>738400</v>
      </c>
      <c r="M39" s="18">
        <f>AVERAGE(M38)</f>
        <v>540797</v>
      </c>
      <c r="N39" s="18">
        <f>AVERAGE(N38)</f>
        <v>535000</v>
      </c>
      <c r="O39" s="20"/>
      <c r="P39" s="18"/>
      <c r="Q39" s="21">
        <f>AVERAGE(Q38)</f>
        <v>18.505820411338473</v>
      </c>
      <c r="R39" s="21">
        <f>AVERAGE(R38)</f>
        <v>13.5534834249602</v>
      </c>
      <c r="S39" s="16"/>
    </row>
    <row r="40" spans="1:19" ht="15.75" thickTop="1" x14ac:dyDescent="0.25">
      <c r="A40" s="10"/>
      <c r="B40" s="10"/>
      <c r="C40" s="10"/>
      <c r="D40" s="11"/>
      <c r="E40" s="12"/>
      <c r="F40" s="10"/>
      <c r="G40" s="10"/>
      <c r="H40" s="12"/>
      <c r="I40" s="12"/>
      <c r="J40" s="13"/>
      <c r="K40" s="12"/>
      <c r="L40" s="12"/>
      <c r="M40" s="12"/>
      <c r="N40" s="12"/>
      <c r="O40" s="14"/>
      <c r="P40" s="12"/>
      <c r="Q40" s="15"/>
      <c r="R40" s="15"/>
      <c r="S40" s="10"/>
    </row>
    <row r="41" spans="1:19" x14ac:dyDescent="0.25">
      <c r="A41" s="10"/>
      <c r="B41" s="10"/>
      <c r="C41" s="10"/>
      <c r="D41" s="11"/>
      <c r="E41" s="12"/>
      <c r="F41" s="10"/>
      <c r="G41" s="10"/>
      <c r="H41" s="12"/>
      <c r="I41" s="12"/>
      <c r="J41" s="13"/>
      <c r="K41" s="12"/>
      <c r="L41" s="12"/>
      <c r="M41" s="12"/>
      <c r="N41" s="12"/>
      <c r="O41" s="14"/>
      <c r="P41" s="12"/>
      <c r="Q41" s="15"/>
      <c r="R41" s="15"/>
      <c r="S41" s="10"/>
    </row>
    <row r="42" spans="1:19" x14ac:dyDescent="0.25">
      <c r="A42" s="10" t="s">
        <v>830</v>
      </c>
      <c r="B42" s="10" t="s">
        <v>831</v>
      </c>
      <c r="C42" s="10" t="s">
        <v>832</v>
      </c>
      <c r="D42" s="11">
        <v>45147</v>
      </c>
      <c r="E42" s="12">
        <v>875000</v>
      </c>
      <c r="F42" s="10" t="s">
        <v>29</v>
      </c>
      <c r="G42" s="10" t="s">
        <v>23</v>
      </c>
      <c r="H42" s="12">
        <v>875000</v>
      </c>
      <c r="I42" s="12">
        <v>324290</v>
      </c>
      <c r="J42" s="13">
        <f>I42/H42*100</f>
        <v>37.061714285714288</v>
      </c>
      <c r="K42" s="12">
        <v>648581</v>
      </c>
      <c r="L42" s="12">
        <f>H42-441018</f>
        <v>433982</v>
      </c>
      <c r="M42" s="12">
        <v>207563</v>
      </c>
      <c r="N42" s="12">
        <f>E42*0.2</f>
        <v>175000</v>
      </c>
      <c r="O42" s="14">
        <v>0.78100000000000003</v>
      </c>
      <c r="P42" s="12">
        <f>L42/O42</f>
        <v>555674.77592829708</v>
      </c>
      <c r="Q42" s="15">
        <f>L42/O42/43560</f>
        <v>12.75653755574603</v>
      </c>
      <c r="R42" s="15">
        <f>M42/O42/43560</f>
        <v>6.1011406110928865</v>
      </c>
      <c r="S42" s="10" t="s">
        <v>24</v>
      </c>
    </row>
    <row r="43" spans="1:19" ht="15.75" thickBot="1" x14ac:dyDescent="0.3">
      <c r="A43" s="16"/>
      <c r="B43" s="16"/>
      <c r="C43" s="16"/>
      <c r="D43" s="17"/>
      <c r="E43" s="18"/>
      <c r="F43" s="16"/>
      <c r="G43" s="16"/>
      <c r="H43" s="18"/>
      <c r="I43" s="18"/>
      <c r="J43" s="19"/>
      <c r="K43" s="18"/>
      <c r="L43" s="18">
        <f>AVERAGE(L42)</f>
        <v>433982</v>
      </c>
      <c r="M43" s="18">
        <f>AVERAGE(M42)</f>
        <v>207563</v>
      </c>
      <c r="N43" s="18">
        <f>AVERAGE(N42)</f>
        <v>175000</v>
      </c>
      <c r="O43" s="20"/>
      <c r="P43" s="18"/>
      <c r="Q43" s="21">
        <f>AVERAGE(Q42)</f>
        <v>12.75653755574603</v>
      </c>
      <c r="R43" s="21">
        <f>AVERAGE(R42)</f>
        <v>6.1011406110928865</v>
      </c>
      <c r="S43" s="16"/>
    </row>
    <row r="44" spans="1:19" ht="15.75" thickTop="1" x14ac:dyDescent="0.25">
      <c r="A44" s="10"/>
      <c r="B44" s="10"/>
      <c r="C44" s="10"/>
      <c r="D44" s="11"/>
      <c r="E44" s="12"/>
      <c r="F44" s="10"/>
      <c r="G44" s="10"/>
      <c r="H44" s="12"/>
      <c r="I44" s="12"/>
      <c r="J44" s="13"/>
      <c r="K44" s="12"/>
      <c r="L44" s="12"/>
      <c r="M44" s="12"/>
      <c r="N44" s="12"/>
      <c r="O44" s="14"/>
      <c r="P44" s="12"/>
      <c r="Q44" s="15"/>
      <c r="R44" s="15"/>
      <c r="S44" s="10"/>
    </row>
    <row r="45" spans="1:19" x14ac:dyDescent="0.25">
      <c r="A45" s="10"/>
      <c r="B45" s="10"/>
      <c r="C45" s="10"/>
      <c r="D45" s="11"/>
      <c r="E45" s="12"/>
      <c r="F45" s="10"/>
      <c r="G45" s="10"/>
      <c r="H45" s="12"/>
      <c r="I45" s="12"/>
      <c r="J45" s="13"/>
      <c r="K45" s="12"/>
      <c r="L45" s="12"/>
      <c r="M45" s="12"/>
      <c r="N45" s="12"/>
      <c r="O45" s="14"/>
      <c r="P45" s="12"/>
      <c r="Q45" s="15"/>
      <c r="R45" s="15"/>
      <c r="S45" s="10"/>
    </row>
    <row r="46" spans="1:19" x14ac:dyDescent="0.25">
      <c r="A46" s="10" t="s">
        <v>833</v>
      </c>
      <c r="B46" s="10" t="s">
        <v>834</v>
      </c>
      <c r="C46" s="10" t="s">
        <v>835</v>
      </c>
      <c r="D46" s="11">
        <v>45450</v>
      </c>
      <c r="E46" s="12">
        <v>719800</v>
      </c>
      <c r="F46" s="10" t="s">
        <v>29</v>
      </c>
      <c r="G46" s="10" t="s">
        <v>23</v>
      </c>
      <c r="H46" s="12">
        <v>719800</v>
      </c>
      <c r="I46" s="12">
        <v>332320</v>
      </c>
      <c r="J46" s="13">
        <f>I46/H46*100</f>
        <v>46.16838010558488</v>
      </c>
      <c r="K46" s="12">
        <v>664644</v>
      </c>
      <c r="L46" s="12">
        <f>H46-564644</f>
        <v>155156</v>
      </c>
      <c r="M46" s="12">
        <v>100000</v>
      </c>
      <c r="N46" s="12">
        <f>E46*0.2</f>
        <v>143960</v>
      </c>
      <c r="O46" s="14">
        <v>1</v>
      </c>
      <c r="P46" s="12">
        <f>L46/O46</f>
        <v>155156</v>
      </c>
      <c r="Q46" s="15">
        <f>L46/O46/43560</f>
        <v>3.5618916437098256</v>
      </c>
      <c r="R46" s="15">
        <f>M46/O46/43560</f>
        <v>2.2956841138659319</v>
      </c>
      <c r="S46" s="10" t="s">
        <v>97</v>
      </c>
    </row>
    <row r="47" spans="1:19" x14ac:dyDescent="0.25">
      <c r="A47" s="10" t="s">
        <v>836</v>
      </c>
      <c r="B47" s="10" t="s">
        <v>837</v>
      </c>
      <c r="C47" s="10" t="s">
        <v>835</v>
      </c>
      <c r="D47" s="11">
        <v>45737</v>
      </c>
      <c r="E47" s="12">
        <v>865000</v>
      </c>
      <c r="F47" s="10" t="s">
        <v>22</v>
      </c>
      <c r="G47" s="10" t="s">
        <v>23</v>
      </c>
      <c r="H47" s="12">
        <v>865000</v>
      </c>
      <c r="I47" s="12">
        <v>329400</v>
      </c>
      <c r="J47" s="13">
        <f>I47/H47*100</f>
        <v>38.080924855491325</v>
      </c>
      <c r="K47" s="12">
        <v>658794</v>
      </c>
      <c r="L47" s="12">
        <f>H47-558794</f>
        <v>306206</v>
      </c>
      <c r="M47" s="12">
        <v>100000</v>
      </c>
      <c r="N47" s="12">
        <f>E47*0.2</f>
        <v>173000</v>
      </c>
      <c r="O47" s="14">
        <v>1</v>
      </c>
      <c r="P47" s="12">
        <f>L47/O47</f>
        <v>306206</v>
      </c>
      <c r="Q47" s="15">
        <f>L47/O47/43560</f>
        <v>7.029522497704316</v>
      </c>
      <c r="R47" s="15">
        <f>M47/O47/43560</f>
        <v>2.2956841138659319</v>
      </c>
      <c r="S47" s="10" t="s">
        <v>97</v>
      </c>
    </row>
    <row r="48" spans="1:19" ht="15.75" thickBot="1" x14ac:dyDescent="0.3">
      <c r="A48" s="16"/>
      <c r="B48" s="16"/>
      <c r="C48" s="16"/>
      <c r="D48" s="17"/>
      <c r="E48" s="18"/>
      <c r="F48" s="16"/>
      <c r="G48" s="16"/>
      <c r="H48" s="18"/>
      <c r="I48" s="18"/>
      <c r="J48" s="19"/>
      <c r="K48" s="18"/>
      <c r="L48" s="18">
        <f>AVERAGE(L46:L47)</f>
        <v>230681</v>
      </c>
      <c r="M48" s="18">
        <f>AVERAGE(M46:M47)</f>
        <v>100000</v>
      </c>
      <c r="N48" s="18">
        <f>AVERAGE(N46:N47)</f>
        <v>158480</v>
      </c>
      <c r="O48" s="20"/>
      <c r="P48" s="18"/>
      <c r="Q48" s="21">
        <f>AVERAGE(Q46:Q47)</f>
        <v>5.2957070707070706</v>
      </c>
      <c r="R48" s="21">
        <f>AVERAGE(R46:R47)</f>
        <v>2.2956841138659319</v>
      </c>
      <c r="S48" s="16"/>
    </row>
    <row r="49" ht="15.75" thickTop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8162A-9D0B-4B1B-A15D-717BA8AE367F}">
  <dimension ref="A1:S93"/>
  <sheetViews>
    <sheetView workbookViewId="0">
      <selection activeCell="Q1" sqref="Q1"/>
    </sheetView>
  </sheetViews>
  <sheetFormatPr defaultRowHeight="15" x14ac:dyDescent="0.25"/>
  <cols>
    <col min="1" max="1" width="12.42578125" bestFit="1" customWidth="1"/>
    <col min="2" max="2" width="16.85546875" bestFit="1" customWidth="1"/>
    <col min="3" max="3" width="12.5703125" bestFit="1" customWidth="1"/>
    <col min="7" max="7" width="13.140625" bestFit="1" customWidth="1"/>
    <col min="13" max="13" width="10.85546875" bestFit="1" customWidth="1"/>
  </cols>
  <sheetData>
    <row r="1" spans="1:19" ht="34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6" t="s">
        <v>11</v>
      </c>
      <c r="M1" s="7" t="s">
        <v>12</v>
      </c>
      <c r="N1" s="9" t="s">
        <v>13</v>
      </c>
      <c r="O1" s="5" t="s">
        <v>14</v>
      </c>
      <c r="P1" s="3" t="s">
        <v>15</v>
      </c>
      <c r="Q1" s="8" t="s">
        <v>16</v>
      </c>
      <c r="R1" s="9" t="s">
        <v>17</v>
      </c>
      <c r="S1" s="1" t="s">
        <v>18</v>
      </c>
    </row>
    <row r="2" spans="1:19" x14ac:dyDescent="0.25">
      <c r="A2" s="10" t="s">
        <v>838</v>
      </c>
      <c r="B2" s="10" t="s">
        <v>839</v>
      </c>
      <c r="C2" s="10" t="s">
        <v>840</v>
      </c>
      <c r="D2" s="11">
        <v>45525</v>
      </c>
      <c r="E2" s="12">
        <v>495000</v>
      </c>
      <c r="F2" s="10" t="s">
        <v>22</v>
      </c>
      <c r="G2" s="10" t="s">
        <v>23</v>
      </c>
      <c r="H2" s="12">
        <v>495000</v>
      </c>
      <c r="I2" s="12">
        <v>205950</v>
      </c>
      <c r="J2" s="13">
        <f>I2/H2*100</f>
        <v>41.606060606060609</v>
      </c>
      <c r="K2" s="12">
        <v>411894</v>
      </c>
      <c r="L2" s="12">
        <f>H2-303352</f>
        <v>191648</v>
      </c>
      <c r="M2" s="12">
        <v>108542</v>
      </c>
      <c r="N2" s="12">
        <f>E2*0.2</f>
        <v>99000</v>
      </c>
      <c r="O2" s="14">
        <v>0.61299999999999999</v>
      </c>
      <c r="P2" s="12">
        <f>L2/O2</f>
        <v>312639.47797716153</v>
      </c>
      <c r="Q2" s="15">
        <f>L2/O2/43560</f>
        <v>7.1772148295950764</v>
      </c>
      <c r="R2" s="15">
        <f>M2/O2/43560</f>
        <v>4.0648963309500159</v>
      </c>
      <c r="S2" s="10" t="s">
        <v>24</v>
      </c>
    </row>
    <row r="3" spans="1:19" x14ac:dyDescent="0.25">
      <c r="A3" s="10" t="s">
        <v>841</v>
      </c>
      <c r="B3" s="10" t="s">
        <v>842</v>
      </c>
      <c r="C3" s="10" t="s">
        <v>840</v>
      </c>
      <c r="D3" s="11">
        <v>45156</v>
      </c>
      <c r="E3" s="12">
        <v>500000</v>
      </c>
      <c r="F3" s="10" t="s">
        <v>29</v>
      </c>
      <c r="G3" s="10" t="s">
        <v>23</v>
      </c>
      <c r="H3" s="12">
        <v>500000</v>
      </c>
      <c r="I3" s="12">
        <v>230460</v>
      </c>
      <c r="J3" s="13">
        <f>I3/H3*100</f>
        <v>46.091999999999999</v>
      </c>
      <c r="K3" s="12">
        <v>460929</v>
      </c>
      <c r="L3" s="12">
        <f>H3-327875</f>
        <v>172125</v>
      </c>
      <c r="M3" s="12">
        <v>133054</v>
      </c>
      <c r="N3" s="12">
        <f>E3*0.2</f>
        <v>100000</v>
      </c>
      <c r="O3" s="14">
        <v>0.85899999999999999</v>
      </c>
      <c r="P3" s="12">
        <f>L3/O3</f>
        <v>200378.34691501746</v>
      </c>
      <c r="Q3" s="15">
        <f>L3/O3/43560</f>
        <v>4.6000538777552222</v>
      </c>
      <c r="R3" s="15">
        <f>M3/O3/43560</f>
        <v>3.5558783944856547</v>
      </c>
      <c r="S3" s="10" t="s">
        <v>24</v>
      </c>
    </row>
    <row r="4" spans="1:19" x14ac:dyDescent="0.25">
      <c r="A4" s="10" t="s">
        <v>843</v>
      </c>
      <c r="B4" s="10" t="s">
        <v>844</v>
      </c>
      <c r="C4" s="10" t="s">
        <v>840</v>
      </c>
      <c r="D4" s="11">
        <v>45672</v>
      </c>
      <c r="E4" s="12">
        <v>950000</v>
      </c>
      <c r="F4" s="10" t="s">
        <v>22</v>
      </c>
      <c r="G4" s="10" t="s">
        <v>23</v>
      </c>
      <c r="H4" s="12">
        <v>950000</v>
      </c>
      <c r="I4" s="12">
        <v>479050</v>
      </c>
      <c r="J4" s="13">
        <f>I4/H4*100</f>
        <v>50.426315789473684</v>
      </c>
      <c r="K4" s="12">
        <v>958098</v>
      </c>
      <c r="L4" s="12">
        <f>H4-868741</f>
        <v>81259</v>
      </c>
      <c r="M4" s="12">
        <v>89357</v>
      </c>
      <c r="N4" s="12">
        <f>E4*0.2</f>
        <v>190000</v>
      </c>
      <c r="O4" s="14">
        <v>0.61099999999999999</v>
      </c>
      <c r="P4" s="12">
        <f>L4/O4</f>
        <v>132993.45335515548</v>
      </c>
      <c r="Q4" s="15">
        <f>L4/O4/43560</f>
        <v>3.0531095811560025</v>
      </c>
      <c r="R4" s="15">
        <f>M4/O4/43560</f>
        <v>3.3573722645289377</v>
      </c>
      <c r="S4" s="10" t="s">
        <v>24</v>
      </c>
    </row>
    <row r="5" spans="1:19" x14ac:dyDescent="0.25">
      <c r="A5" s="10" t="s">
        <v>845</v>
      </c>
      <c r="B5" s="10" t="s">
        <v>846</v>
      </c>
      <c r="C5" s="10" t="s">
        <v>840</v>
      </c>
      <c r="D5" s="11">
        <v>45429</v>
      </c>
      <c r="E5" s="12">
        <v>360800</v>
      </c>
      <c r="F5" s="10" t="s">
        <v>22</v>
      </c>
      <c r="G5" s="10" t="s">
        <v>23</v>
      </c>
      <c r="H5" s="12">
        <v>360800</v>
      </c>
      <c r="I5" s="12">
        <v>135350</v>
      </c>
      <c r="J5" s="13">
        <f>I5/H5*100</f>
        <v>37.513858093126387</v>
      </c>
      <c r="K5" s="12">
        <v>270704</v>
      </c>
      <c r="L5" s="12">
        <f>H5-143310</f>
        <v>217490</v>
      </c>
      <c r="M5" s="12">
        <v>127394</v>
      </c>
      <c r="N5" s="12">
        <f>E5*0.2</f>
        <v>72160</v>
      </c>
      <c r="O5" s="14">
        <v>0.90700000000000003</v>
      </c>
      <c r="P5" s="12">
        <f>L5/O5</f>
        <v>239790.51819184123</v>
      </c>
      <c r="Q5" s="15">
        <f>L5/O5/43560</f>
        <v>5.5048328326868967</v>
      </c>
      <c r="R5" s="15">
        <f>M5/O5/43560</f>
        <v>3.2244364057534347</v>
      </c>
      <c r="S5" s="10" t="s">
        <v>24</v>
      </c>
    </row>
    <row r="6" spans="1:19" x14ac:dyDescent="0.25">
      <c r="A6" s="10" t="s">
        <v>847</v>
      </c>
      <c r="B6" s="10" t="s">
        <v>848</v>
      </c>
      <c r="C6" s="10" t="s">
        <v>840</v>
      </c>
      <c r="D6" s="11">
        <v>45490</v>
      </c>
      <c r="E6" s="12">
        <v>550000</v>
      </c>
      <c r="F6" s="10" t="s">
        <v>29</v>
      </c>
      <c r="G6" s="10" t="s">
        <v>23</v>
      </c>
      <c r="H6" s="12">
        <v>550000</v>
      </c>
      <c r="I6" s="12">
        <v>190020</v>
      </c>
      <c r="J6" s="13">
        <f>I6/H6*100</f>
        <v>34.549090909090907</v>
      </c>
      <c r="K6" s="12">
        <v>380042</v>
      </c>
      <c r="L6" s="12">
        <f>H6-276770</f>
        <v>273230</v>
      </c>
      <c r="M6" s="12">
        <v>103272</v>
      </c>
      <c r="N6" s="12">
        <f>E6*0.2</f>
        <v>110000</v>
      </c>
      <c r="O6" s="14">
        <v>0.67700000000000005</v>
      </c>
      <c r="P6" s="12">
        <f>L6/O6</f>
        <v>403589.36484490393</v>
      </c>
      <c r="Q6" s="15">
        <f>L6/O6/43560</f>
        <v>9.2651369339968763</v>
      </c>
      <c r="R6" s="15">
        <f>M6/O6/43560</f>
        <v>3.5019186086730065</v>
      </c>
      <c r="S6" s="10" t="s">
        <v>24</v>
      </c>
    </row>
    <row r="7" spans="1:19" ht="15.75" thickBot="1" x14ac:dyDescent="0.3">
      <c r="A7" s="16"/>
      <c r="B7" s="16"/>
      <c r="C7" s="16"/>
      <c r="D7" s="17"/>
      <c r="E7" s="18"/>
      <c r="F7" s="16"/>
      <c r="G7" s="16"/>
      <c r="H7" s="18"/>
      <c r="I7" s="18"/>
      <c r="J7" s="19"/>
      <c r="K7" s="18"/>
      <c r="L7" s="18">
        <f>AVERAGE(L2:L6)</f>
        <v>187150.4</v>
      </c>
      <c r="M7" s="18">
        <f>AVERAGE(M2:M6)</f>
        <v>112323.8</v>
      </c>
      <c r="N7" s="18">
        <f>AVERAGE(N2:N6)</f>
        <v>114232</v>
      </c>
      <c r="O7" s="20"/>
      <c r="P7" s="18"/>
      <c r="Q7" s="21">
        <f>AVERAGE(Q2:Q6)</f>
        <v>5.9200696110380147</v>
      </c>
      <c r="R7" s="21">
        <f>AVERAGE(R2:R6)</f>
        <v>3.5409004008782099</v>
      </c>
      <c r="S7" s="16"/>
    </row>
    <row r="8" spans="1:19" ht="15.75" thickTop="1" x14ac:dyDescent="0.25">
      <c r="A8" s="10"/>
      <c r="B8" s="10"/>
      <c r="C8" s="10"/>
      <c r="D8" s="11"/>
      <c r="E8" s="12"/>
      <c r="F8" s="10"/>
      <c r="G8" s="10"/>
      <c r="H8" s="12"/>
      <c r="I8" s="12"/>
      <c r="J8" s="13"/>
      <c r="K8" s="12"/>
      <c r="L8" s="12"/>
      <c r="M8" s="12"/>
      <c r="N8" s="12"/>
      <c r="O8" s="14"/>
      <c r="P8" s="12"/>
      <c r="Q8" s="15"/>
      <c r="R8" s="15"/>
      <c r="S8" s="10"/>
    </row>
    <row r="9" spans="1:19" x14ac:dyDescent="0.25">
      <c r="A9" s="10"/>
      <c r="B9" s="10"/>
      <c r="C9" s="10"/>
      <c r="D9" s="11"/>
      <c r="E9" s="12"/>
      <c r="F9" s="10"/>
      <c r="G9" s="10"/>
      <c r="H9" s="12"/>
      <c r="I9" s="12"/>
      <c r="J9" s="13"/>
      <c r="K9" s="12"/>
      <c r="L9" s="12"/>
      <c r="M9" s="12"/>
      <c r="N9" s="12"/>
      <c r="O9" s="14"/>
      <c r="P9" s="12"/>
      <c r="Q9" s="15"/>
      <c r="R9" s="15"/>
      <c r="S9" s="10"/>
    </row>
    <row r="10" spans="1:19" x14ac:dyDescent="0.25">
      <c r="A10" s="10" t="s">
        <v>849</v>
      </c>
      <c r="B10" s="10" t="s">
        <v>850</v>
      </c>
      <c r="C10" s="10" t="s">
        <v>851</v>
      </c>
      <c r="D10" s="11">
        <v>45126</v>
      </c>
      <c r="E10" s="12">
        <v>411000</v>
      </c>
      <c r="F10" s="10" t="s">
        <v>29</v>
      </c>
      <c r="G10" s="10" t="s">
        <v>23</v>
      </c>
      <c r="H10" s="12">
        <v>411000</v>
      </c>
      <c r="I10" s="12">
        <v>243960</v>
      </c>
      <c r="J10" s="13">
        <f t="shared" ref="J10:J19" si="0">I10/H10*100</f>
        <v>59.357664233576642</v>
      </c>
      <c r="K10" s="12">
        <v>487923</v>
      </c>
      <c r="L10" s="12">
        <f>H10-349489</f>
        <v>61511</v>
      </c>
      <c r="M10" s="12">
        <v>138434</v>
      </c>
      <c r="N10" s="12">
        <f t="shared" ref="N10:N19" si="1">E10*0.2</f>
        <v>82200</v>
      </c>
      <c r="O10" s="14">
        <v>0.45400000000000001</v>
      </c>
      <c r="P10" s="12">
        <f t="shared" ref="P10:P19" si="2">L10/O10</f>
        <v>135486.78414096916</v>
      </c>
      <c r="Q10" s="15">
        <f t="shared" ref="Q10:Q19" si="3">L10/O10/43560</f>
        <v>3.1103485799120558</v>
      </c>
      <c r="R10" s="15">
        <f t="shared" ref="R10:R19" si="4">M10/O10/43560</f>
        <v>7.0000161810334012</v>
      </c>
      <c r="S10" s="10" t="s">
        <v>24</v>
      </c>
    </row>
    <row r="11" spans="1:19" x14ac:dyDescent="0.25">
      <c r="A11" s="10" t="s">
        <v>852</v>
      </c>
      <c r="B11" s="10" t="s">
        <v>853</v>
      </c>
      <c r="C11" s="10" t="s">
        <v>851</v>
      </c>
      <c r="D11" s="11">
        <v>45089</v>
      </c>
      <c r="E11" s="12">
        <v>365500</v>
      </c>
      <c r="F11" s="10" t="s">
        <v>22</v>
      </c>
      <c r="G11" s="10" t="s">
        <v>23</v>
      </c>
      <c r="H11" s="12">
        <v>365500</v>
      </c>
      <c r="I11" s="12">
        <v>209810</v>
      </c>
      <c r="J11" s="13">
        <f t="shared" si="0"/>
        <v>57.40355677154583</v>
      </c>
      <c r="K11" s="12">
        <v>419629</v>
      </c>
      <c r="L11" s="12">
        <f>H11-316566</f>
        <v>48934</v>
      </c>
      <c r="M11" s="12">
        <v>103063</v>
      </c>
      <c r="N11" s="12">
        <f t="shared" si="1"/>
        <v>73100</v>
      </c>
      <c r="O11" s="14">
        <v>0.33800000000000002</v>
      </c>
      <c r="P11" s="12">
        <f t="shared" si="2"/>
        <v>144775.14792899406</v>
      </c>
      <c r="Q11" s="15">
        <f t="shared" si="3"/>
        <v>3.3235800718318198</v>
      </c>
      <c r="R11" s="15">
        <f t="shared" si="4"/>
        <v>7.0000027167859331</v>
      </c>
      <c r="S11" s="10" t="s">
        <v>24</v>
      </c>
    </row>
    <row r="12" spans="1:19" x14ac:dyDescent="0.25">
      <c r="A12" s="10" t="s">
        <v>854</v>
      </c>
      <c r="B12" s="10" t="s">
        <v>855</v>
      </c>
      <c r="C12" s="10" t="s">
        <v>851</v>
      </c>
      <c r="D12" s="11">
        <v>45540</v>
      </c>
      <c r="E12" s="12">
        <v>435000</v>
      </c>
      <c r="F12" s="10" t="s">
        <v>29</v>
      </c>
      <c r="G12" s="10" t="s">
        <v>23</v>
      </c>
      <c r="H12" s="12">
        <v>435000</v>
      </c>
      <c r="I12" s="12">
        <v>257680</v>
      </c>
      <c r="J12" s="13">
        <f t="shared" si="0"/>
        <v>59.236781609195397</v>
      </c>
      <c r="K12" s="12">
        <v>515366</v>
      </c>
      <c r="L12" s="12">
        <f>H12-374493</f>
        <v>60507</v>
      </c>
      <c r="M12" s="12">
        <v>140873</v>
      </c>
      <c r="N12" s="12">
        <f t="shared" si="1"/>
        <v>87000</v>
      </c>
      <c r="O12" s="14">
        <v>0.46200000000000002</v>
      </c>
      <c r="P12" s="12">
        <f t="shared" si="2"/>
        <v>130967.53246753247</v>
      </c>
      <c r="Q12" s="15">
        <f t="shared" si="3"/>
        <v>3.0066008371793496</v>
      </c>
      <c r="R12" s="15">
        <f t="shared" si="4"/>
        <v>6.9999980123947054</v>
      </c>
      <c r="S12" s="10" t="s">
        <v>24</v>
      </c>
    </row>
    <row r="13" spans="1:19" x14ac:dyDescent="0.25">
      <c r="A13" s="10" t="s">
        <v>856</v>
      </c>
      <c r="B13" s="10" t="s">
        <v>857</v>
      </c>
      <c r="C13" s="10" t="s">
        <v>851</v>
      </c>
      <c r="D13" s="11">
        <v>45533</v>
      </c>
      <c r="E13" s="12">
        <v>366500</v>
      </c>
      <c r="F13" s="10" t="s">
        <v>22</v>
      </c>
      <c r="G13" s="10" t="s">
        <v>23</v>
      </c>
      <c r="H13" s="12">
        <v>366500</v>
      </c>
      <c r="I13" s="12">
        <v>159560</v>
      </c>
      <c r="J13" s="13">
        <f t="shared" si="0"/>
        <v>43.536152796725787</v>
      </c>
      <c r="K13" s="12">
        <v>319122</v>
      </c>
      <c r="L13" s="12">
        <f>H13-224993</f>
        <v>141507</v>
      </c>
      <c r="M13" s="12">
        <v>94129</v>
      </c>
      <c r="N13" s="12">
        <f t="shared" si="1"/>
        <v>73300</v>
      </c>
      <c r="O13" s="14">
        <v>0.441</v>
      </c>
      <c r="P13" s="12">
        <f t="shared" si="2"/>
        <v>320877.55102040817</v>
      </c>
      <c r="Q13" s="15">
        <f t="shared" si="3"/>
        <v>7.366334963737561</v>
      </c>
      <c r="R13" s="15">
        <f t="shared" si="4"/>
        <v>4.9000102030405062</v>
      </c>
      <c r="S13" s="10" t="s">
        <v>24</v>
      </c>
    </row>
    <row r="14" spans="1:19" x14ac:dyDescent="0.25">
      <c r="A14" s="10" t="s">
        <v>858</v>
      </c>
      <c r="B14" s="10" t="s">
        <v>859</v>
      </c>
      <c r="C14" s="10" t="s">
        <v>851</v>
      </c>
      <c r="D14" s="11">
        <v>45610</v>
      </c>
      <c r="E14" s="12">
        <v>515000</v>
      </c>
      <c r="F14" s="10" t="s">
        <v>22</v>
      </c>
      <c r="G14" s="10" t="s">
        <v>23</v>
      </c>
      <c r="H14" s="12">
        <v>515000</v>
      </c>
      <c r="I14" s="12">
        <v>213850</v>
      </c>
      <c r="J14" s="13">
        <f t="shared" si="0"/>
        <v>41.524271844660191</v>
      </c>
      <c r="K14" s="12">
        <v>427702</v>
      </c>
      <c r="L14" s="12">
        <f>H14-315796</f>
        <v>199204</v>
      </c>
      <c r="M14" s="12">
        <v>111906</v>
      </c>
      <c r="N14" s="12">
        <f t="shared" si="1"/>
        <v>103000</v>
      </c>
      <c r="O14" s="14">
        <v>0.36699999999999999</v>
      </c>
      <c r="P14" s="12">
        <f t="shared" si="2"/>
        <v>542790.19073569484</v>
      </c>
      <c r="Q14" s="15">
        <f t="shared" si="3"/>
        <v>12.460748180341938</v>
      </c>
      <c r="R14" s="15">
        <f t="shared" si="4"/>
        <v>7.0000225189722345</v>
      </c>
      <c r="S14" s="10" t="s">
        <v>24</v>
      </c>
    </row>
    <row r="15" spans="1:19" x14ac:dyDescent="0.25">
      <c r="A15" s="10" t="s">
        <v>860</v>
      </c>
      <c r="B15" s="10" t="s">
        <v>861</v>
      </c>
      <c r="C15" s="10" t="s">
        <v>851</v>
      </c>
      <c r="D15" s="11">
        <v>45141</v>
      </c>
      <c r="E15" s="12">
        <v>463500</v>
      </c>
      <c r="F15" s="10" t="s">
        <v>22</v>
      </c>
      <c r="G15" s="10" t="s">
        <v>23</v>
      </c>
      <c r="H15" s="12">
        <v>463500</v>
      </c>
      <c r="I15" s="12">
        <v>219380</v>
      </c>
      <c r="J15" s="13">
        <f t="shared" si="0"/>
        <v>47.331175836030205</v>
      </c>
      <c r="K15" s="12">
        <v>438760</v>
      </c>
      <c r="L15" s="12">
        <f>H15-328989</f>
        <v>134511</v>
      </c>
      <c r="M15" s="12">
        <v>109771</v>
      </c>
      <c r="N15" s="12">
        <f t="shared" si="1"/>
        <v>92700</v>
      </c>
      <c r="O15" s="14">
        <v>0.36</v>
      </c>
      <c r="P15" s="12">
        <f t="shared" si="2"/>
        <v>373641.66666666669</v>
      </c>
      <c r="Q15" s="15">
        <f t="shared" si="3"/>
        <v>8.5776323844505669</v>
      </c>
      <c r="R15" s="15">
        <f t="shared" si="4"/>
        <v>6.9999872461993675</v>
      </c>
      <c r="S15" s="10" t="s">
        <v>24</v>
      </c>
    </row>
    <row r="16" spans="1:19" x14ac:dyDescent="0.25">
      <c r="A16" s="10" t="s">
        <v>862</v>
      </c>
      <c r="B16" s="10" t="s">
        <v>863</v>
      </c>
      <c r="C16" s="10" t="s">
        <v>851</v>
      </c>
      <c r="D16" s="11">
        <v>45425</v>
      </c>
      <c r="E16" s="12">
        <v>490000</v>
      </c>
      <c r="F16" s="10" t="s">
        <v>22</v>
      </c>
      <c r="G16" s="10" t="s">
        <v>23</v>
      </c>
      <c r="H16" s="12">
        <v>490000</v>
      </c>
      <c r="I16" s="12">
        <v>246840</v>
      </c>
      <c r="J16" s="13">
        <f t="shared" si="0"/>
        <v>50.375510204081628</v>
      </c>
      <c r="K16" s="12">
        <v>493683</v>
      </c>
      <c r="L16" s="12">
        <f>H16-365007</f>
        <v>124993</v>
      </c>
      <c r="M16" s="12">
        <v>128676</v>
      </c>
      <c r="N16" s="12">
        <f t="shared" si="1"/>
        <v>98000</v>
      </c>
      <c r="O16" s="14">
        <v>0.42199999999999999</v>
      </c>
      <c r="P16" s="12">
        <f t="shared" si="2"/>
        <v>296191.94312796212</v>
      </c>
      <c r="Q16" s="15">
        <f t="shared" si="3"/>
        <v>6.7996313849394427</v>
      </c>
      <c r="R16" s="15">
        <f t="shared" si="4"/>
        <v>6.9999869439766034</v>
      </c>
      <c r="S16" s="10" t="s">
        <v>24</v>
      </c>
    </row>
    <row r="17" spans="1:19" x14ac:dyDescent="0.25">
      <c r="A17" s="10" t="s">
        <v>864</v>
      </c>
      <c r="B17" s="10" t="s">
        <v>865</v>
      </c>
      <c r="C17" s="10" t="s">
        <v>851</v>
      </c>
      <c r="D17" s="11">
        <v>45128</v>
      </c>
      <c r="E17" s="12">
        <v>820000</v>
      </c>
      <c r="F17" s="10" t="s">
        <v>22</v>
      </c>
      <c r="G17" s="10" t="s">
        <v>23</v>
      </c>
      <c r="H17" s="12">
        <v>820000</v>
      </c>
      <c r="I17" s="12">
        <v>439450</v>
      </c>
      <c r="J17" s="13">
        <f t="shared" si="0"/>
        <v>53.591463414634141</v>
      </c>
      <c r="K17" s="12">
        <v>878902</v>
      </c>
      <c r="L17" s="12">
        <f>H17-766996</f>
        <v>53004</v>
      </c>
      <c r="M17" s="12">
        <v>111906</v>
      </c>
      <c r="N17" s="12">
        <f t="shared" si="1"/>
        <v>164000</v>
      </c>
      <c r="O17" s="14">
        <v>0.36699999999999999</v>
      </c>
      <c r="P17" s="12">
        <f t="shared" si="2"/>
        <v>144425.06811989102</v>
      </c>
      <c r="Q17" s="15">
        <f t="shared" si="3"/>
        <v>3.3155433452683889</v>
      </c>
      <c r="R17" s="15">
        <f t="shared" si="4"/>
        <v>7.0000225189722345</v>
      </c>
      <c r="S17" s="10" t="s">
        <v>24</v>
      </c>
    </row>
    <row r="18" spans="1:19" x14ac:dyDescent="0.25">
      <c r="A18" s="10" t="s">
        <v>866</v>
      </c>
      <c r="B18" s="10" t="s">
        <v>867</v>
      </c>
      <c r="C18" s="10" t="s">
        <v>851</v>
      </c>
      <c r="D18" s="11">
        <v>45203</v>
      </c>
      <c r="E18" s="12">
        <v>702000</v>
      </c>
      <c r="F18" s="10" t="s">
        <v>29</v>
      </c>
      <c r="G18" s="10" t="s">
        <v>23</v>
      </c>
      <c r="H18" s="12">
        <v>702000</v>
      </c>
      <c r="I18" s="12">
        <v>298900</v>
      </c>
      <c r="J18" s="13">
        <f t="shared" si="0"/>
        <v>42.578347578347582</v>
      </c>
      <c r="K18" s="12">
        <v>597800</v>
      </c>
      <c r="L18" s="12">
        <f>H18-483150</f>
        <v>218850</v>
      </c>
      <c r="M18" s="12">
        <v>114650</v>
      </c>
      <c r="N18" s="12">
        <f t="shared" si="1"/>
        <v>140400</v>
      </c>
      <c r="O18" s="14">
        <v>0.376</v>
      </c>
      <c r="P18" s="12">
        <f t="shared" si="2"/>
        <v>582047.8723404255</v>
      </c>
      <c r="Q18" s="15">
        <f t="shared" si="3"/>
        <v>13.361980540413809</v>
      </c>
      <c r="R18" s="15">
        <f t="shared" si="4"/>
        <v>7.0000048844342855</v>
      </c>
      <c r="S18" s="10" t="s">
        <v>24</v>
      </c>
    </row>
    <row r="19" spans="1:19" x14ac:dyDescent="0.25">
      <c r="A19" s="10" t="s">
        <v>868</v>
      </c>
      <c r="B19" s="10" t="s">
        <v>869</v>
      </c>
      <c r="C19" s="10" t="s">
        <v>851</v>
      </c>
      <c r="D19" s="11">
        <v>45184</v>
      </c>
      <c r="E19" s="12">
        <v>429000</v>
      </c>
      <c r="F19" s="10" t="s">
        <v>22</v>
      </c>
      <c r="G19" s="10" t="s">
        <v>23</v>
      </c>
      <c r="H19" s="12">
        <v>429000</v>
      </c>
      <c r="I19" s="12">
        <v>200590</v>
      </c>
      <c r="J19" s="13">
        <f t="shared" si="0"/>
        <v>46.757575757575758</v>
      </c>
      <c r="K19" s="12">
        <v>401183</v>
      </c>
      <c r="L19" s="12">
        <f>H19-288668</f>
        <v>140332</v>
      </c>
      <c r="M19" s="12">
        <v>112515</v>
      </c>
      <c r="N19" s="12">
        <f t="shared" si="1"/>
        <v>85800</v>
      </c>
      <c r="O19" s="14">
        <v>0.36899999999999999</v>
      </c>
      <c r="P19" s="12">
        <f t="shared" si="2"/>
        <v>380303.52303523035</v>
      </c>
      <c r="Q19" s="15">
        <f t="shared" si="3"/>
        <v>8.730567562792249</v>
      </c>
      <c r="R19" s="15">
        <f t="shared" si="4"/>
        <v>6.9999701374424221</v>
      </c>
      <c r="S19" s="10" t="s">
        <v>24</v>
      </c>
    </row>
    <row r="20" spans="1:19" ht="15.75" thickBot="1" x14ac:dyDescent="0.3">
      <c r="A20" s="16"/>
      <c r="B20" s="16"/>
      <c r="C20" s="16"/>
      <c r="D20" s="17"/>
      <c r="E20" s="18"/>
      <c r="F20" s="16"/>
      <c r="G20" s="16"/>
      <c r="H20" s="18"/>
      <c r="I20" s="18"/>
      <c r="J20" s="19"/>
      <c r="K20" s="18"/>
      <c r="L20" s="18">
        <f>AVERAGE(L10:L19)</f>
        <v>118335.3</v>
      </c>
      <c r="M20" s="18">
        <f>AVERAGE(M10:M19)</f>
        <v>116592.3</v>
      </c>
      <c r="N20" s="18">
        <f>AVERAGE(N10:N19)</f>
        <v>99950</v>
      </c>
      <c r="O20" s="20"/>
      <c r="P20" s="18"/>
      <c r="Q20" s="21">
        <f>AVERAGE(Q10:Q19)</f>
        <v>7.0052967850867187</v>
      </c>
      <c r="R20" s="21">
        <f>AVERAGE(R10:R19)</f>
        <v>6.7900021363251692</v>
      </c>
      <c r="S20" s="16"/>
    </row>
    <row r="21" spans="1:19" ht="15.75" thickTop="1" x14ac:dyDescent="0.25">
      <c r="A21" s="10"/>
      <c r="B21" s="10"/>
      <c r="C21" s="10"/>
      <c r="D21" s="11"/>
      <c r="E21" s="12"/>
      <c r="F21" s="10"/>
      <c r="G21" s="10"/>
      <c r="H21" s="12"/>
      <c r="I21" s="12"/>
      <c r="J21" s="13"/>
      <c r="K21" s="12"/>
      <c r="L21" s="12"/>
      <c r="M21" s="12"/>
      <c r="N21" s="12"/>
      <c r="O21" s="14"/>
      <c r="P21" s="12"/>
      <c r="Q21" s="15"/>
      <c r="R21" s="15"/>
      <c r="S21" s="10"/>
    </row>
    <row r="22" spans="1:19" x14ac:dyDescent="0.25">
      <c r="A22" s="10"/>
      <c r="B22" s="10"/>
      <c r="C22" s="10"/>
      <c r="D22" s="11"/>
      <c r="E22" s="12"/>
      <c r="F22" s="10"/>
      <c r="G22" s="10"/>
      <c r="H22" s="12"/>
      <c r="I22" s="12"/>
      <c r="J22" s="13"/>
      <c r="K22" s="12"/>
      <c r="L22" s="12"/>
      <c r="M22" s="12"/>
      <c r="N22" s="12"/>
      <c r="O22" s="14"/>
      <c r="P22" s="12"/>
      <c r="Q22" s="15"/>
      <c r="R22" s="15"/>
      <c r="S22" s="10"/>
    </row>
    <row r="23" spans="1:19" x14ac:dyDescent="0.25">
      <c r="A23" s="10" t="s">
        <v>870</v>
      </c>
      <c r="B23" s="10" t="s">
        <v>871</v>
      </c>
      <c r="C23" s="10" t="s">
        <v>872</v>
      </c>
      <c r="D23" s="11">
        <v>45068</v>
      </c>
      <c r="E23" s="12">
        <v>675000</v>
      </c>
      <c r="F23" s="10" t="s">
        <v>22</v>
      </c>
      <c r="G23" s="10" t="s">
        <v>23</v>
      </c>
      <c r="H23" s="12">
        <v>675000</v>
      </c>
      <c r="I23" s="12">
        <v>352970</v>
      </c>
      <c r="J23" s="13">
        <f t="shared" ref="J23:J31" si="5">I23/H23*100</f>
        <v>52.29185185185186</v>
      </c>
      <c r="K23" s="12">
        <v>705933</v>
      </c>
      <c r="L23" s="12">
        <f>H23-490431</f>
        <v>184569</v>
      </c>
      <c r="M23" s="12">
        <v>215502</v>
      </c>
      <c r="N23" s="12">
        <f t="shared" ref="N23:N31" si="6">E23*0.2</f>
        <v>135000</v>
      </c>
      <c r="O23" s="14">
        <v>0.76800000000000002</v>
      </c>
      <c r="P23" s="12">
        <f t="shared" ref="P23:P31" si="7">L23/O23</f>
        <v>240324.21875</v>
      </c>
      <c r="Q23" s="15">
        <f t="shared" ref="Q23:Q31" si="8">L23/O23/43560</f>
        <v>5.5170849116161618</v>
      </c>
      <c r="R23" s="15">
        <f t="shared" ref="R23:R31" si="9">M23/O23/43560</f>
        <v>6.4417254935720845</v>
      </c>
      <c r="S23" s="10" t="s">
        <v>24</v>
      </c>
    </row>
    <row r="24" spans="1:19" x14ac:dyDescent="0.25">
      <c r="A24" s="10" t="s">
        <v>873</v>
      </c>
      <c r="B24" s="10" t="s">
        <v>874</v>
      </c>
      <c r="C24" s="10" t="s">
        <v>872</v>
      </c>
      <c r="D24" s="11">
        <v>45582</v>
      </c>
      <c r="E24" s="12">
        <v>1075000</v>
      </c>
      <c r="F24" s="10" t="s">
        <v>22</v>
      </c>
      <c r="G24" s="10" t="s">
        <v>23</v>
      </c>
      <c r="H24" s="12">
        <v>1075000</v>
      </c>
      <c r="I24" s="12">
        <v>437440</v>
      </c>
      <c r="J24" s="13">
        <f t="shared" si="5"/>
        <v>40.692093023255815</v>
      </c>
      <c r="K24" s="12">
        <v>874880</v>
      </c>
      <c r="L24" s="12">
        <f>H24-641050</f>
        <v>433950</v>
      </c>
      <c r="M24" s="12">
        <v>233830</v>
      </c>
      <c r="N24" s="12">
        <f t="shared" si="6"/>
        <v>215000</v>
      </c>
      <c r="O24" s="14">
        <v>0.54600000000000004</v>
      </c>
      <c r="P24" s="12">
        <f t="shared" si="7"/>
        <v>794780.21978021972</v>
      </c>
      <c r="Q24" s="15">
        <f t="shared" si="8"/>
        <v>18.245643245643244</v>
      </c>
      <c r="R24" s="15">
        <f t="shared" si="9"/>
        <v>9.8314984678621027</v>
      </c>
      <c r="S24" s="10" t="s">
        <v>24</v>
      </c>
    </row>
    <row r="25" spans="1:19" x14ac:dyDescent="0.25">
      <c r="A25" s="10" t="s">
        <v>875</v>
      </c>
      <c r="B25" s="10" t="s">
        <v>876</v>
      </c>
      <c r="C25" s="10" t="s">
        <v>872</v>
      </c>
      <c r="D25" s="11">
        <v>45471</v>
      </c>
      <c r="E25" s="12">
        <v>1250000</v>
      </c>
      <c r="F25" s="10" t="s">
        <v>29</v>
      </c>
      <c r="G25" s="10" t="s">
        <v>23</v>
      </c>
      <c r="H25" s="12">
        <v>1250000</v>
      </c>
      <c r="I25" s="12">
        <v>546820</v>
      </c>
      <c r="J25" s="13">
        <f t="shared" si="5"/>
        <v>43.745600000000003</v>
      </c>
      <c r="K25" s="12">
        <v>1093643</v>
      </c>
      <c r="L25" s="12">
        <f>H25-758231</f>
        <v>491769</v>
      </c>
      <c r="M25" s="12">
        <v>335412</v>
      </c>
      <c r="N25" s="12">
        <f t="shared" si="6"/>
        <v>250000</v>
      </c>
      <c r="O25" s="14">
        <v>0.75</v>
      </c>
      <c r="P25" s="12">
        <f t="shared" si="7"/>
        <v>655692</v>
      </c>
      <c r="Q25" s="15">
        <f t="shared" si="8"/>
        <v>15.052617079889806</v>
      </c>
      <c r="R25" s="15">
        <f t="shared" si="9"/>
        <v>10.266666666666667</v>
      </c>
      <c r="S25" s="10" t="s">
        <v>24</v>
      </c>
    </row>
    <row r="26" spans="1:19" x14ac:dyDescent="0.25">
      <c r="A26" s="10" t="s">
        <v>877</v>
      </c>
      <c r="B26" s="10" t="s">
        <v>878</v>
      </c>
      <c r="C26" s="10" t="s">
        <v>872</v>
      </c>
      <c r="D26" s="11">
        <v>45047</v>
      </c>
      <c r="E26" s="12">
        <v>880000</v>
      </c>
      <c r="F26" s="10" t="s">
        <v>29</v>
      </c>
      <c r="G26" s="10" t="s">
        <v>23</v>
      </c>
      <c r="H26" s="12">
        <v>880000</v>
      </c>
      <c r="I26" s="12">
        <v>414860</v>
      </c>
      <c r="J26" s="13">
        <f t="shared" si="5"/>
        <v>47.143181818181816</v>
      </c>
      <c r="K26" s="12">
        <v>829727</v>
      </c>
      <c r="L26" s="12">
        <f>H26-595200</f>
        <v>284800</v>
      </c>
      <c r="M26" s="12">
        <v>234527</v>
      </c>
      <c r="N26" s="12">
        <f t="shared" si="6"/>
        <v>176000</v>
      </c>
      <c r="O26" s="14">
        <v>0.54800000000000004</v>
      </c>
      <c r="P26" s="12">
        <f t="shared" si="7"/>
        <v>519708.02919708024</v>
      </c>
      <c r="Q26" s="15">
        <f t="shared" si="8"/>
        <v>11.930854664763091</v>
      </c>
      <c r="R26" s="15">
        <f t="shared" si="9"/>
        <v>9.8248158425663394</v>
      </c>
      <c r="S26" s="10" t="s">
        <v>24</v>
      </c>
    </row>
    <row r="27" spans="1:19" x14ac:dyDescent="0.25">
      <c r="A27" s="10" t="s">
        <v>879</v>
      </c>
      <c r="B27" s="10" t="s">
        <v>880</v>
      </c>
      <c r="C27" s="10" t="s">
        <v>872</v>
      </c>
      <c r="D27" s="11">
        <v>45455</v>
      </c>
      <c r="E27" s="12">
        <v>885000</v>
      </c>
      <c r="F27" s="10" t="s">
        <v>29</v>
      </c>
      <c r="G27" s="10" t="s">
        <v>23</v>
      </c>
      <c r="H27" s="12">
        <v>885000</v>
      </c>
      <c r="I27" s="12">
        <v>524250</v>
      </c>
      <c r="J27" s="13">
        <f t="shared" si="5"/>
        <v>59.237288135593225</v>
      </c>
      <c r="K27" s="12">
        <v>1048491</v>
      </c>
      <c r="L27" s="12">
        <f>H27-829646</f>
        <v>55354</v>
      </c>
      <c r="M27" s="12">
        <v>218845</v>
      </c>
      <c r="N27" s="12">
        <f t="shared" si="6"/>
        <v>177000</v>
      </c>
      <c r="O27" s="14">
        <v>0.503</v>
      </c>
      <c r="P27" s="12">
        <f t="shared" si="7"/>
        <v>110047.71371769384</v>
      </c>
      <c r="Q27" s="15">
        <f t="shared" si="8"/>
        <v>2.5263478814897575</v>
      </c>
      <c r="R27" s="15">
        <f t="shared" si="9"/>
        <v>9.9880514890455245</v>
      </c>
      <c r="S27" s="10" t="s">
        <v>24</v>
      </c>
    </row>
    <row r="28" spans="1:19" x14ac:dyDescent="0.25">
      <c r="A28" s="10" t="s">
        <v>881</v>
      </c>
      <c r="B28" s="10" t="s">
        <v>882</v>
      </c>
      <c r="C28" s="10" t="s">
        <v>872</v>
      </c>
      <c r="D28" s="11">
        <v>45044</v>
      </c>
      <c r="E28" s="12">
        <v>855000</v>
      </c>
      <c r="F28" s="10" t="s">
        <v>22</v>
      </c>
      <c r="G28" s="10" t="s">
        <v>23</v>
      </c>
      <c r="H28" s="12">
        <v>855000</v>
      </c>
      <c r="I28" s="12">
        <v>492780</v>
      </c>
      <c r="J28" s="13">
        <f t="shared" si="5"/>
        <v>57.635087719298248</v>
      </c>
      <c r="K28" s="12">
        <v>985564</v>
      </c>
      <c r="L28" s="12">
        <f>H28-762188</f>
        <v>92812</v>
      </c>
      <c r="M28" s="12">
        <v>223376</v>
      </c>
      <c r="N28" s="12">
        <f t="shared" si="6"/>
        <v>171000</v>
      </c>
      <c r="O28" s="14">
        <v>0.51600000000000001</v>
      </c>
      <c r="P28" s="12">
        <f t="shared" si="7"/>
        <v>179868.21705426357</v>
      </c>
      <c r="Q28" s="15">
        <f t="shared" si="8"/>
        <v>4.1292060848086223</v>
      </c>
      <c r="R28" s="15">
        <f t="shared" si="9"/>
        <v>9.9379987329247363</v>
      </c>
      <c r="S28" s="10" t="s">
        <v>24</v>
      </c>
    </row>
    <row r="29" spans="1:19" x14ac:dyDescent="0.25">
      <c r="A29" s="10" t="s">
        <v>883</v>
      </c>
      <c r="B29" s="10" t="s">
        <v>884</v>
      </c>
      <c r="C29" s="10" t="s">
        <v>872</v>
      </c>
      <c r="D29" s="11">
        <v>45104</v>
      </c>
      <c r="E29" s="12">
        <v>895000</v>
      </c>
      <c r="F29" s="10" t="s">
        <v>29</v>
      </c>
      <c r="G29" s="10" t="s">
        <v>23</v>
      </c>
      <c r="H29" s="12">
        <v>895000</v>
      </c>
      <c r="I29" s="12">
        <v>457970</v>
      </c>
      <c r="J29" s="13">
        <f t="shared" si="5"/>
        <v>51.16983240223464</v>
      </c>
      <c r="K29" s="12">
        <v>915932</v>
      </c>
      <c r="L29" s="12">
        <f>H29-652481</f>
        <v>242519</v>
      </c>
      <c r="M29" s="12">
        <v>263451</v>
      </c>
      <c r="N29" s="12">
        <f t="shared" si="6"/>
        <v>179000</v>
      </c>
      <c r="O29" s="14">
        <v>0.63100000000000001</v>
      </c>
      <c r="P29" s="12">
        <f t="shared" si="7"/>
        <v>384340.72900158475</v>
      </c>
      <c r="Q29" s="15">
        <f t="shared" si="8"/>
        <v>8.8232490588058941</v>
      </c>
      <c r="R29" s="15">
        <f t="shared" si="9"/>
        <v>9.5847904196845271</v>
      </c>
      <c r="S29" s="10" t="s">
        <v>24</v>
      </c>
    </row>
    <row r="30" spans="1:19" x14ac:dyDescent="0.25">
      <c r="A30" s="10" t="s">
        <v>885</v>
      </c>
      <c r="B30" s="10" t="s">
        <v>886</v>
      </c>
      <c r="C30" s="10" t="s">
        <v>872</v>
      </c>
      <c r="D30" s="11">
        <v>45243</v>
      </c>
      <c r="E30" s="12">
        <v>1550000</v>
      </c>
      <c r="F30" s="10" t="s">
        <v>29</v>
      </c>
      <c r="G30" s="10" t="s">
        <v>23</v>
      </c>
      <c r="H30" s="12">
        <v>1550000</v>
      </c>
      <c r="I30" s="12">
        <v>597530</v>
      </c>
      <c r="J30" s="13">
        <f t="shared" si="5"/>
        <v>38.550322580645165</v>
      </c>
      <c r="K30" s="12">
        <v>1195059</v>
      </c>
      <c r="L30" s="12">
        <f>H30-925880</f>
        <v>624120</v>
      </c>
      <c r="M30" s="12">
        <v>269179</v>
      </c>
      <c r="N30" s="12">
        <f t="shared" si="6"/>
        <v>310000</v>
      </c>
      <c r="O30" s="14">
        <v>0.82199999999999995</v>
      </c>
      <c r="P30" s="12">
        <f t="shared" si="7"/>
        <v>759270.07299270073</v>
      </c>
      <c r="Q30" s="15">
        <f t="shared" si="8"/>
        <v>17.430442447031698</v>
      </c>
      <c r="R30" s="15">
        <f t="shared" si="9"/>
        <v>7.5176393441157883</v>
      </c>
      <c r="S30" s="10" t="s">
        <v>24</v>
      </c>
    </row>
    <row r="31" spans="1:19" x14ac:dyDescent="0.25">
      <c r="A31" s="10" t="s">
        <v>887</v>
      </c>
      <c r="B31" s="10" t="s">
        <v>888</v>
      </c>
      <c r="C31" s="10" t="s">
        <v>872</v>
      </c>
      <c r="D31" s="11">
        <v>45100</v>
      </c>
      <c r="E31" s="12">
        <v>1125000</v>
      </c>
      <c r="F31" s="10" t="s">
        <v>22</v>
      </c>
      <c r="G31" s="10" t="s">
        <v>23</v>
      </c>
      <c r="H31" s="12">
        <v>1125000</v>
      </c>
      <c r="I31" s="12">
        <v>534260</v>
      </c>
      <c r="J31" s="13">
        <f t="shared" si="5"/>
        <v>47.489777777777775</v>
      </c>
      <c r="K31" s="12">
        <v>1068524</v>
      </c>
      <c r="L31" s="12">
        <f>H31-809255</f>
        <v>315745</v>
      </c>
      <c r="M31" s="12">
        <v>259269</v>
      </c>
      <c r="N31" s="12">
        <f t="shared" si="6"/>
        <v>225000</v>
      </c>
      <c r="O31" s="14">
        <v>0.61899999999999999</v>
      </c>
      <c r="P31" s="12">
        <f t="shared" si="7"/>
        <v>510088.85298869142</v>
      </c>
      <c r="Q31" s="15">
        <f t="shared" si="8"/>
        <v>11.710028764662338</v>
      </c>
      <c r="R31" s="15">
        <f t="shared" si="9"/>
        <v>9.6155044348611689</v>
      </c>
      <c r="S31" s="10" t="s">
        <v>24</v>
      </c>
    </row>
    <row r="32" spans="1:19" ht="15.75" thickBot="1" x14ac:dyDescent="0.3">
      <c r="A32" s="16"/>
      <c r="B32" s="16"/>
      <c r="C32" s="16"/>
      <c r="D32" s="17"/>
      <c r="E32" s="18"/>
      <c r="F32" s="16"/>
      <c r="G32" s="16"/>
      <c r="H32" s="18"/>
      <c r="I32" s="18"/>
      <c r="J32" s="19"/>
      <c r="K32" s="18"/>
      <c r="L32" s="18">
        <f>AVERAGE(L23:L31)</f>
        <v>302848.66666666669</v>
      </c>
      <c r="M32" s="18">
        <f>AVERAGE(M23:M31)</f>
        <v>250376.77777777778</v>
      </c>
      <c r="N32" s="18">
        <f>AVERAGE(N23:N31)</f>
        <v>204222.22222222222</v>
      </c>
      <c r="O32" s="20"/>
      <c r="P32" s="18"/>
      <c r="Q32" s="21">
        <f>AVERAGE(Q23:Q31)</f>
        <v>10.596163793190067</v>
      </c>
      <c r="R32" s="21">
        <f>AVERAGE(R23:R31)</f>
        <v>9.2231878768109929</v>
      </c>
      <c r="S32" s="16"/>
    </row>
    <row r="33" spans="1:19" ht="15.75" thickTop="1" x14ac:dyDescent="0.25">
      <c r="A33" s="10"/>
      <c r="B33" s="10"/>
      <c r="C33" s="10"/>
      <c r="D33" s="11"/>
      <c r="E33" s="12"/>
      <c r="F33" s="10"/>
      <c r="G33" s="10"/>
      <c r="H33" s="12"/>
      <c r="I33" s="12"/>
      <c r="J33" s="13"/>
      <c r="K33" s="12"/>
      <c r="L33" s="12"/>
      <c r="M33" s="12"/>
      <c r="N33" s="12"/>
      <c r="O33" s="14"/>
      <c r="P33" s="12"/>
      <c r="Q33" s="15"/>
      <c r="R33" s="15"/>
      <c r="S33" s="10"/>
    </row>
    <row r="34" spans="1:19" x14ac:dyDescent="0.25">
      <c r="A34" s="10"/>
      <c r="B34" s="10"/>
      <c r="C34" s="10"/>
      <c r="D34" s="11"/>
      <c r="E34" s="12"/>
      <c r="F34" s="10"/>
      <c r="G34" s="10"/>
      <c r="H34" s="12"/>
      <c r="I34" s="12"/>
      <c r="J34" s="13"/>
      <c r="K34" s="12"/>
      <c r="L34" s="12"/>
      <c r="M34" s="12"/>
      <c r="N34" s="12"/>
      <c r="O34" s="14"/>
      <c r="P34" s="12"/>
      <c r="Q34" s="15"/>
      <c r="R34" s="15"/>
      <c r="S34" s="10"/>
    </row>
    <row r="35" spans="1:19" x14ac:dyDescent="0.25">
      <c r="A35" s="10" t="s">
        <v>889</v>
      </c>
      <c r="B35" s="10" t="s">
        <v>890</v>
      </c>
      <c r="C35" s="10" t="s">
        <v>891</v>
      </c>
      <c r="D35" s="11">
        <v>45156</v>
      </c>
      <c r="E35" s="12">
        <v>375000</v>
      </c>
      <c r="F35" s="10" t="s">
        <v>22</v>
      </c>
      <c r="G35" s="10" t="s">
        <v>23</v>
      </c>
      <c r="H35" s="12">
        <v>375000</v>
      </c>
      <c r="I35" s="12">
        <v>149610</v>
      </c>
      <c r="J35" s="13">
        <f>I35/H35*100</f>
        <v>39.896000000000001</v>
      </c>
      <c r="K35" s="12">
        <v>299227</v>
      </c>
      <c r="L35" s="12">
        <f>H35-203047</f>
        <v>171953</v>
      </c>
      <c r="M35" s="12">
        <v>96180</v>
      </c>
      <c r="N35" s="12">
        <f>E35*0.2</f>
        <v>75000</v>
      </c>
      <c r="O35" s="14">
        <v>0.36799999999999999</v>
      </c>
      <c r="P35" s="12">
        <f>L35/O35</f>
        <v>467263.58695652173</v>
      </c>
      <c r="Q35" s="15">
        <f>L35/O35/43560</f>
        <v>10.726895935640995</v>
      </c>
      <c r="R35" s="15">
        <f>M35/O35/43560</f>
        <v>5.9999700562941669</v>
      </c>
      <c r="S35" s="10" t="s">
        <v>24</v>
      </c>
    </row>
    <row r="36" spans="1:19" x14ac:dyDescent="0.25">
      <c r="A36" s="10" t="s">
        <v>892</v>
      </c>
      <c r="B36" s="10" t="s">
        <v>893</v>
      </c>
      <c r="C36" s="10" t="s">
        <v>891</v>
      </c>
      <c r="D36" s="11">
        <v>45261</v>
      </c>
      <c r="E36" s="12">
        <v>385000</v>
      </c>
      <c r="F36" s="10" t="s">
        <v>22</v>
      </c>
      <c r="G36" s="10" t="s">
        <v>23</v>
      </c>
      <c r="H36" s="12">
        <v>385000</v>
      </c>
      <c r="I36" s="12">
        <v>159560</v>
      </c>
      <c r="J36" s="13">
        <f>I36/H36*100</f>
        <v>41.444155844155844</v>
      </c>
      <c r="K36" s="12">
        <v>319128</v>
      </c>
      <c r="L36" s="12">
        <f>H36-229220</f>
        <v>155780</v>
      </c>
      <c r="M36" s="12">
        <v>89908</v>
      </c>
      <c r="N36" s="12">
        <f>E36*0.2</f>
        <v>77000</v>
      </c>
      <c r="O36" s="14">
        <v>0.34399999999999997</v>
      </c>
      <c r="P36" s="12">
        <f>L36/O36</f>
        <v>452848.83720930235</v>
      </c>
      <c r="Q36" s="15">
        <f>L36/O36/43560</f>
        <v>10.39597881564055</v>
      </c>
      <c r="R36" s="15">
        <f>M36/O36/43560</f>
        <v>6.00001067760053</v>
      </c>
      <c r="S36" s="10" t="s">
        <v>24</v>
      </c>
    </row>
    <row r="37" spans="1:19" x14ac:dyDescent="0.25">
      <c r="A37" s="10" t="s">
        <v>894</v>
      </c>
      <c r="B37" s="10" t="s">
        <v>895</v>
      </c>
      <c r="C37" s="10" t="s">
        <v>891</v>
      </c>
      <c r="D37" s="11">
        <v>45387</v>
      </c>
      <c r="E37" s="12">
        <v>475000</v>
      </c>
      <c r="F37" s="10" t="s">
        <v>29</v>
      </c>
      <c r="G37" s="10" t="s">
        <v>23</v>
      </c>
      <c r="H37" s="12">
        <v>475000</v>
      </c>
      <c r="I37" s="12">
        <v>230160</v>
      </c>
      <c r="J37" s="13">
        <f>I37/H37*100</f>
        <v>48.454736842105262</v>
      </c>
      <c r="K37" s="12">
        <v>460318</v>
      </c>
      <c r="L37" s="12">
        <f>H37-269352</f>
        <v>205648</v>
      </c>
      <c r="M37" s="12">
        <v>190966</v>
      </c>
      <c r="N37" s="12">
        <f>E37*0.2</f>
        <v>95000</v>
      </c>
      <c r="O37" s="14">
        <v>1.1599999999999999</v>
      </c>
      <c r="P37" s="12">
        <f>L37/O37</f>
        <v>177282.75862068968</v>
      </c>
      <c r="Q37" s="15">
        <f>L37/O37/43560</f>
        <v>4.0698521262784588</v>
      </c>
      <c r="R37" s="15">
        <f>M37/O37/43560</f>
        <v>3.7792897628320832</v>
      </c>
      <c r="S37" s="10" t="s">
        <v>24</v>
      </c>
    </row>
    <row r="38" spans="1:19" ht="15.75" thickBot="1" x14ac:dyDescent="0.3">
      <c r="A38" s="16"/>
      <c r="B38" s="16"/>
      <c r="C38" s="16"/>
      <c r="D38" s="17"/>
      <c r="E38" s="18"/>
      <c r="F38" s="16"/>
      <c r="G38" s="16"/>
      <c r="H38" s="18"/>
      <c r="I38" s="18"/>
      <c r="J38" s="19"/>
      <c r="K38" s="18"/>
      <c r="L38" s="18">
        <f>AVERAGE(L35:L37)</f>
        <v>177793.66666666666</v>
      </c>
      <c r="M38" s="18">
        <f>AVERAGE(M35:M37)</f>
        <v>125684.66666666667</v>
      </c>
      <c r="N38" s="18">
        <f>AVERAGE(N35:N37)</f>
        <v>82333.333333333328</v>
      </c>
      <c r="O38" s="20"/>
      <c r="P38" s="18"/>
      <c r="Q38" s="21">
        <f>AVERAGE(Q35:Q37)</f>
        <v>8.3975756258533334</v>
      </c>
      <c r="R38" s="21">
        <f>AVERAGE(R35:R37)</f>
        <v>5.2597568322422603</v>
      </c>
      <c r="S38" s="16"/>
    </row>
    <row r="39" spans="1:19" ht="15.75" thickTop="1" x14ac:dyDescent="0.25">
      <c r="A39" s="10"/>
      <c r="B39" s="10"/>
      <c r="C39" s="10"/>
      <c r="D39" s="11"/>
      <c r="E39" s="12"/>
      <c r="F39" s="10"/>
      <c r="G39" s="10"/>
      <c r="H39" s="12"/>
      <c r="I39" s="12"/>
      <c r="J39" s="13"/>
      <c r="K39" s="12"/>
      <c r="L39" s="12"/>
      <c r="M39" s="12"/>
      <c r="N39" s="12"/>
      <c r="O39" s="14"/>
      <c r="P39" s="12"/>
      <c r="Q39" s="15"/>
      <c r="R39" s="15"/>
      <c r="S39" s="10"/>
    </row>
    <row r="40" spans="1:19" x14ac:dyDescent="0.25">
      <c r="A40" s="10"/>
      <c r="B40" s="10"/>
      <c r="C40" s="10"/>
      <c r="D40" s="11"/>
      <c r="E40" s="12"/>
      <c r="F40" s="10"/>
      <c r="G40" s="10"/>
      <c r="H40" s="12"/>
      <c r="I40" s="12"/>
      <c r="J40" s="13"/>
      <c r="K40" s="12"/>
      <c r="L40" s="12"/>
      <c r="M40" s="12"/>
      <c r="N40" s="12"/>
      <c r="O40" s="14"/>
      <c r="P40" s="12"/>
      <c r="Q40" s="15"/>
      <c r="R40" s="15"/>
      <c r="S40" s="10"/>
    </row>
    <row r="41" spans="1:19" x14ac:dyDescent="0.25">
      <c r="A41" s="10" t="s">
        <v>896</v>
      </c>
      <c r="B41" s="10" t="s">
        <v>897</v>
      </c>
      <c r="C41" s="10" t="s">
        <v>898</v>
      </c>
      <c r="D41" s="11">
        <v>45145</v>
      </c>
      <c r="E41" s="12">
        <v>850000</v>
      </c>
      <c r="F41" s="10" t="s">
        <v>22</v>
      </c>
      <c r="G41" s="10" t="s">
        <v>23</v>
      </c>
      <c r="H41" s="12">
        <v>850000</v>
      </c>
      <c r="I41" s="12">
        <v>407970</v>
      </c>
      <c r="J41" s="13">
        <f>I41/H41*100</f>
        <v>47.996470588235297</v>
      </c>
      <c r="K41" s="12">
        <v>815935</v>
      </c>
      <c r="L41" s="12">
        <f>H41-617759</f>
        <v>232241</v>
      </c>
      <c r="M41" s="12">
        <v>198176</v>
      </c>
      <c r="N41" s="12">
        <f>E41*0.2</f>
        <v>170000</v>
      </c>
      <c r="O41" s="14">
        <v>0.84899999999999998</v>
      </c>
      <c r="P41" s="12">
        <f>L41/O41</f>
        <v>273546.52532391046</v>
      </c>
      <c r="Q41" s="15">
        <f>L41/O41/43560</f>
        <v>6.2797641258932613</v>
      </c>
      <c r="R41" s="15">
        <f>M41/O41/43560</f>
        <v>5.3586512950470553</v>
      </c>
      <c r="S41" s="10" t="s">
        <v>24</v>
      </c>
    </row>
    <row r="42" spans="1:19" x14ac:dyDescent="0.25">
      <c r="A42" s="10" t="s">
        <v>899</v>
      </c>
      <c r="B42" s="10" t="s">
        <v>900</v>
      </c>
      <c r="C42" s="10" t="s">
        <v>898</v>
      </c>
      <c r="D42" s="11">
        <v>45673</v>
      </c>
      <c r="E42" s="12">
        <v>580000</v>
      </c>
      <c r="F42" s="10" t="s">
        <v>29</v>
      </c>
      <c r="G42" s="10" t="s">
        <v>23</v>
      </c>
      <c r="H42" s="12">
        <v>580000</v>
      </c>
      <c r="I42" s="12">
        <v>353250</v>
      </c>
      <c r="J42" s="13">
        <f>I42/H42*100</f>
        <v>60.90517241379311</v>
      </c>
      <c r="K42" s="12">
        <v>706496</v>
      </c>
      <c r="L42" s="12">
        <f>H42-503637</f>
        <v>76363</v>
      </c>
      <c r="M42" s="12">
        <v>202859</v>
      </c>
      <c r="N42" s="12">
        <f>E42*0.2</f>
        <v>116000</v>
      </c>
      <c r="O42" s="14">
        <v>1.1279999999999999</v>
      </c>
      <c r="P42" s="12">
        <f>L42/O42</f>
        <v>67697.695035461002</v>
      </c>
      <c r="Q42" s="15">
        <f>L42/O42/43560</f>
        <v>1.554125230382484</v>
      </c>
      <c r="R42" s="15">
        <f>M42/O42/43560</f>
        <v>4.1285477274355422</v>
      </c>
      <c r="S42" s="10" t="s">
        <v>24</v>
      </c>
    </row>
    <row r="43" spans="1:19" ht="15.75" thickBot="1" x14ac:dyDescent="0.3">
      <c r="A43" s="16"/>
      <c r="B43" s="16"/>
      <c r="C43" s="16"/>
      <c r="D43" s="17"/>
      <c r="E43" s="18"/>
      <c r="F43" s="16"/>
      <c r="G43" s="16"/>
      <c r="H43" s="18"/>
      <c r="I43" s="18"/>
      <c r="J43" s="19"/>
      <c r="K43" s="18"/>
      <c r="L43" s="18">
        <f>AVERAGE(L41:L42)</f>
        <v>154302</v>
      </c>
      <c r="M43" s="18">
        <f>AVERAGE(M41:M42)</f>
        <v>200517.5</v>
      </c>
      <c r="N43" s="18">
        <f>AVERAGE(N41:N42)</f>
        <v>143000</v>
      </c>
      <c r="O43" s="20"/>
      <c r="P43" s="18"/>
      <c r="Q43" s="21">
        <f>AVERAGE(Q41:Q42)</f>
        <v>3.9169446781378725</v>
      </c>
      <c r="R43" s="21">
        <f>AVERAGE(R41:R42)</f>
        <v>4.7435995112412987</v>
      </c>
      <c r="S43" s="16"/>
    </row>
    <row r="44" spans="1:19" ht="15.75" thickTop="1" x14ac:dyDescent="0.25">
      <c r="A44" s="10"/>
      <c r="B44" s="10"/>
      <c r="C44" s="10"/>
      <c r="D44" s="11"/>
      <c r="E44" s="12"/>
      <c r="F44" s="10"/>
      <c r="G44" s="10"/>
      <c r="H44" s="12"/>
      <c r="I44" s="12"/>
      <c r="J44" s="13"/>
      <c r="K44" s="12"/>
      <c r="L44" s="12"/>
      <c r="M44" s="12"/>
      <c r="N44" s="12"/>
      <c r="O44" s="14"/>
      <c r="P44" s="12"/>
      <c r="Q44" s="15"/>
      <c r="R44" s="15"/>
      <c r="S44" s="10"/>
    </row>
    <row r="45" spans="1:19" x14ac:dyDescent="0.25">
      <c r="A45" s="10"/>
      <c r="B45" s="10"/>
      <c r="C45" s="10"/>
      <c r="D45" s="11"/>
      <c r="E45" s="12"/>
      <c r="F45" s="10"/>
      <c r="G45" s="10"/>
      <c r="H45" s="12"/>
      <c r="I45" s="12"/>
      <c r="J45" s="13"/>
      <c r="K45" s="12"/>
      <c r="L45" s="12"/>
      <c r="M45" s="12"/>
      <c r="N45" s="12"/>
      <c r="O45" s="14"/>
      <c r="P45" s="12"/>
      <c r="Q45" s="15"/>
      <c r="R45" s="15"/>
      <c r="S45" s="10"/>
    </row>
    <row r="46" spans="1:19" x14ac:dyDescent="0.25">
      <c r="A46" s="10" t="s">
        <v>901</v>
      </c>
      <c r="B46" s="10" t="s">
        <v>902</v>
      </c>
      <c r="C46" s="10" t="s">
        <v>903</v>
      </c>
      <c r="D46" s="11">
        <v>45245</v>
      </c>
      <c r="E46" s="12">
        <v>900000</v>
      </c>
      <c r="F46" s="10" t="s">
        <v>22</v>
      </c>
      <c r="G46" s="10" t="s">
        <v>23</v>
      </c>
      <c r="H46" s="12">
        <v>900000</v>
      </c>
      <c r="I46" s="12">
        <v>457360</v>
      </c>
      <c r="J46" s="13">
        <f>I46/H46*100</f>
        <v>50.817777777777771</v>
      </c>
      <c r="K46" s="12">
        <v>914717</v>
      </c>
      <c r="L46" s="12">
        <f>H46-489582</f>
        <v>410418</v>
      </c>
      <c r="M46" s="12">
        <v>425135</v>
      </c>
      <c r="N46" s="12">
        <f>E46*0.2</f>
        <v>180000</v>
      </c>
      <c r="O46" s="14">
        <v>2.87</v>
      </c>
      <c r="P46" s="12">
        <f>L46/O46</f>
        <v>143002.78745644598</v>
      </c>
      <c r="Q46" s="15">
        <f>L46/O46/43560</f>
        <v>3.2828922740230939</v>
      </c>
      <c r="R46" s="15">
        <f>M46/O46/43560</f>
        <v>3.4006120757783727</v>
      </c>
      <c r="S46" s="10" t="s">
        <v>24</v>
      </c>
    </row>
    <row r="47" spans="1:19" x14ac:dyDescent="0.25">
      <c r="A47" s="10" t="s">
        <v>904</v>
      </c>
      <c r="B47" s="10" t="s">
        <v>905</v>
      </c>
      <c r="C47" s="10" t="s">
        <v>903</v>
      </c>
      <c r="D47" s="11">
        <v>45296</v>
      </c>
      <c r="E47" s="12">
        <v>1500000</v>
      </c>
      <c r="F47" s="10" t="s">
        <v>22</v>
      </c>
      <c r="G47" s="10" t="s">
        <v>23</v>
      </c>
      <c r="H47" s="12">
        <v>1500000</v>
      </c>
      <c r="I47" s="12">
        <v>616620</v>
      </c>
      <c r="J47" s="13">
        <f>I47/H47*100</f>
        <v>41.107999999999997</v>
      </c>
      <c r="K47" s="12">
        <v>1233235</v>
      </c>
      <c r="L47" s="12">
        <f>H47-924929</f>
        <v>575071</v>
      </c>
      <c r="M47" s="12">
        <v>308306</v>
      </c>
      <c r="N47" s="12">
        <f>E47*0.2</f>
        <v>300000</v>
      </c>
      <c r="O47" s="14">
        <v>0.73199999999999998</v>
      </c>
      <c r="P47" s="12">
        <f>L47/O47</f>
        <v>785616.12021857931</v>
      </c>
      <c r="Q47" s="15">
        <f>L47/O47/43560</f>
        <v>18.035264467827808</v>
      </c>
      <c r="R47" s="15">
        <f>M47/O47/43560</f>
        <v>9.6690326012233623</v>
      </c>
      <c r="S47" s="10" t="s">
        <v>24</v>
      </c>
    </row>
    <row r="48" spans="1:19" ht="15.75" thickBot="1" x14ac:dyDescent="0.3">
      <c r="A48" s="16"/>
      <c r="B48" s="16"/>
      <c r="C48" s="16"/>
      <c r="D48" s="17"/>
      <c r="E48" s="18"/>
      <c r="F48" s="16"/>
      <c r="G48" s="16"/>
      <c r="H48" s="18"/>
      <c r="I48" s="18"/>
      <c r="J48" s="19"/>
      <c r="K48" s="18"/>
      <c r="L48" s="18">
        <f>AVERAGE(L46:L47)</f>
        <v>492744.5</v>
      </c>
      <c r="M48" s="18">
        <f>AVERAGE(M46:M47)</f>
        <v>366720.5</v>
      </c>
      <c r="N48" s="18">
        <f>AVERAGE(N46:N47)</f>
        <v>240000</v>
      </c>
      <c r="O48" s="20"/>
      <c r="P48" s="18"/>
      <c r="Q48" s="21">
        <f>AVERAGE(Q46:Q47)</f>
        <v>10.659078370925451</v>
      </c>
      <c r="R48" s="21">
        <f>AVERAGE(R46:R47)</f>
        <v>6.5348223385008675</v>
      </c>
      <c r="S48" s="16"/>
    </row>
    <row r="49" spans="1:19" ht="15.75" thickTop="1" x14ac:dyDescent="0.25">
      <c r="A49" s="10"/>
      <c r="B49" s="10"/>
      <c r="C49" s="10"/>
      <c r="D49" s="11"/>
      <c r="E49" s="12"/>
      <c r="F49" s="10"/>
      <c r="G49" s="10"/>
      <c r="H49" s="12"/>
      <c r="I49" s="12"/>
      <c r="J49" s="13"/>
      <c r="K49" s="12"/>
      <c r="L49" s="12"/>
      <c r="M49" s="12"/>
      <c r="N49" s="12"/>
      <c r="O49" s="14"/>
      <c r="P49" s="12"/>
      <c r="Q49" s="15"/>
      <c r="R49" s="15"/>
      <c r="S49" s="10"/>
    </row>
    <row r="50" spans="1:19" x14ac:dyDescent="0.25">
      <c r="A50" s="10"/>
      <c r="B50" s="10"/>
      <c r="C50" s="10"/>
      <c r="D50" s="11"/>
      <c r="E50" s="12"/>
      <c r="F50" s="10"/>
      <c r="G50" s="10"/>
      <c r="H50" s="12"/>
      <c r="I50" s="12"/>
      <c r="J50" s="13"/>
      <c r="K50" s="12"/>
      <c r="L50" s="12"/>
      <c r="M50" s="12"/>
      <c r="N50" s="12"/>
      <c r="O50" s="14"/>
      <c r="P50" s="12"/>
      <c r="Q50" s="15"/>
      <c r="R50" s="15"/>
      <c r="S50" s="10"/>
    </row>
    <row r="51" spans="1:19" x14ac:dyDescent="0.25">
      <c r="A51" s="10"/>
      <c r="B51" s="10"/>
      <c r="C51" s="10"/>
      <c r="D51" s="11"/>
      <c r="E51" s="12"/>
      <c r="F51" s="10"/>
      <c r="G51" s="10"/>
      <c r="H51" s="12"/>
      <c r="I51" s="12"/>
      <c r="J51" s="13"/>
      <c r="K51" s="12"/>
      <c r="L51" s="12"/>
      <c r="M51" s="12"/>
      <c r="N51" s="12"/>
      <c r="O51" s="14"/>
      <c r="P51" s="12"/>
      <c r="Q51" s="15"/>
      <c r="R51" s="15"/>
      <c r="S51" s="10"/>
    </row>
    <row r="52" spans="1:19" x14ac:dyDescent="0.25">
      <c r="A52" s="10" t="s">
        <v>906</v>
      </c>
      <c r="B52" s="10" t="s">
        <v>907</v>
      </c>
      <c r="C52" s="10" t="s">
        <v>908</v>
      </c>
      <c r="D52" s="11">
        <v>45436</v>
      </c>
      <c r="E52" s="12">
        <v>750000</v>
      </c>
      <c r="F52" s="10" t="s">
        <v>29</v>
      </c>
      <c r="G52" s="10" t="s">
        <v>23</v>
      </c>
      <c r="H52" s="12">
        <v>750000</v>
      </c>
      <c r="I52" s="12">
        <v>344770</v>
      </c>
      <c r="J52" s="13">
        <f>I52/H52*100</f>
        <v>45.969333333333331</v>
      </c>
      <c r="K52" s="12">
        <v>689538</v>
      </c>
      <c r="L52" s="12">
        <f>H52-573363</f>
        <v>176637</v>
      </c>
      <c r="M52" s="12">
        <v>116175</v>
      </c>
      <c r="N52" s="12">
        <f>E52*0.2</f>
        <v>150000</v>
      </c>
      <c r="O52" s="14">
        <v>0.38100000000000001</v>
      </c>
      <c r="P52" s="12">
        <f>L52/O52</f>
        <v>463614.17322834645</v>
      </c>
      <c r="Q52" s="15">
        <f>L52/O52/43560</f>
        <v>10.643116924434032</v>
      </c>
      <c r="R52" s="15">
        <f>M52/O52/43560</f>
        <v>7.000028922004585</v>
      </c>
      <c r="S52" s="10" t="s">
        <v>24</v>
      </c>
    </row>
    <row r="53" spans="1:19" ht="15.75" thickBot="1" x14ac:dyDescent="0.3">
      <c r="A53" s="16"/>
      <c r="B53" s="16"/>
      <c r="C53" s="16"/>
      <c r="D53" s="17"/>
      <c r="E53" s="18"/>
      <c r="F53" s="16"/>
      <c r="G53" s="16"/>
      <c r="H53" s="18"/>
      <c r="I53" s="18"/>
      <c r="J53" s="19"/>
      <c r="K53" s="18"/>
      <c r="L53" s="18">
        <f>AVERAGE(L52)</f>
        <v>176637</v>
      </c>
      <c r="M53" s="18">
        <f>AVERAGE(M52)</f>
        <v>116175</v>
      </c>
      <c r="N53" s="18">
        <f>AVERAGE(N52)</f>
        <v>150000</v>
      </c>
      <c r="O53" s="20"/>
      <c r="P53" s="18"/>
      <c r="Q53" s="21">
        <f>AVERAGE(Q52)</f>
        <v>10.643116924434032</v>
      </c>
      <c r="R53" s="21">
        <f>AVERAGE(R52)</f>
        <v>7.000028922004585</v>
      </c>
      <c r="S53" s="16"/>
    </row>
    <row r="54" spans="1:19" ht="15.75" thickTop="1" x14ac:dyDescent="0.25">
      <c r="A54" s="10"/>
      <c r="B54" s="10"/>
      <c r="C54" s="10"/>
      <c r="D54" s="11"/>
      <c r="E54" s="12"/>
      <c r="F54" s="10"/>
      <c r="G54" s="10"/>
      <c r="H54" s="12"/>
      <c r="I54" s="12"/>
      <c r="J54" s="13"/>
      <c r="K54" s="12"/>
      <c r="L54" s="12"/>
      <c r="M54" s="12"/>
      <c r="N54" s="12"/>
      <c r="O54" s="14"/>
      <c r="P54" s="12"/>
      <c r="Q54" s="15"/>
      <c r="R54" s="15"/>
      <c r="S54" s="10"/>
    </row>
    <row r="55" spans="1:19" x14ac:dyDescent="0.25">
      <c r="A55" s="10"/>
      <c r="B55" s="10"/>
      <c r="C55" s="10"/>
      <c r="D55" s="11"/>
      <c r="E55" s="12"/>
      <c r="F55" s="10"/>
      <c r="G55" s="10"/>
      <c r="H55" s="12"/>
      <c r="I55" s="12"/>
      <c r="J55" s="13"/>
      <c r="K55" s="12"/>
      <c r="L55" s="12"/>
      <c r="M55" s="12"/>
      <c r="N55" s="12"/>
      <c r="O55" s="14"/>
      <c r="P55" s="12"/>
      <c r="Q55" s="15"/>
      <c r="R55" s="15"/>
      <c r="S55" s="10"/>
    </row>
    <row r="56" spans="1:19" x14ac:dyDescent="0.25">
      <c r="A56" s="10" t="s">
        <v>909</v>
      </c>
      <c r="B56" s="10" t="s">
        <v>910</v>
      </c>
      <c r="C56" s="10" t="s">
        <v>911</v>
      </c>
      <c r="D56" s="11">
        <v>45719</v>
      </c>
      <c r="E56" s="12">
        <v>580000</v>
      </c>
      <c r="F56" s="10" t="s">
        <v>29</v>
      </c>
      <c r="G56" s="10" t="s">
        <v>23</v>
      </c>
      <c r="H56" s="12">
        <v>580000</v>
      </c>
      <c r="I56" s="12">
        <v>251960</v>
      </c>
      <c r="J56" s="13">
        <f>I56/H56*100</f>
        <v>43.441379310344828</v>
      </c>
      <c r="K56" s="12">
        <v>503918</v>
      </c>
      <c r="L56" s="12">
        <f>H56-419791</f>
        <v>160209</v>
      </c>
      <c r="M56" s="12">
        <v>84127</v>
      </c>
      <c r="N56" s="12">
        <f>E56*0.2</f>
        <v>116000</v>
      </c>
      <c r="O56" s="14">
        <v>1.018</v>
      </c>
      <c r="P56" s="12">
        <f>L56/O56</f>
        <v>157376.22789783889</v>
      </c>
      <c r="Q56" s="15">
        <f>L56/O56/43560</f>
        <v>3.6128610628521325</v>
      </c>
      <c r="R56" s="15">
        <f>M56/O56/43560</f>
        <v>1.8971416252180675</v>
      </c>
      <c r="S56" s="10" t="s">
        <v>24</v>
      </c>
    </row>
    <row r="57" spans="1:19" ht="15.75" thickBot="1" x14ac:dyDescent="0.3">
      <c r="A57" s="16"/>
      <c r="B57" s="16"/>
      <c r="C57" s="16"/>
      <c r="D57" s="17"/>
      <c r="E57" s="18"/>
      <c r="F57" s="16"/>
      <c r="G57" s="16"/>
      <c r="H57" s="18"/>
      <c r="I57" s="18"/>
      <c r="J57" s="19"/>
      <c r="K57" s="18"/>
      <c r="L57" s="18">
        <f>AVERAGE(L56)</f>
        <v>160209</v>
      </c>
      <c r="M57" s="18">
        <f>AVERAGE(M56)</f>
        <v>84127</v>
      </c>
      <c r="N57" s="18">
        <f>AVERAGE(N56)</f>
        <v>116000</v>
      </c>
      <c r="O57" s="20"/>
      <c r="P57" s="18"/>
      <c r="Q57" s="21">
        <f>AVERAGE(Q56)</f>
        <v>3.6128610628521325</v>
      </c>
      <c r="R57" s="21">
        <f>AVERAGE(R56)</f>
        <v>1.8971416252180675</v>
      </c>
      <c r="S57" s="16"/>
    </row>
    <row r="58" spans="1:19" ht="15.75" thickTop="1" x14ac:dyDescent="0.25">
      <c r="A58" s="10"/>
      <c r="B58" s="10"/>
      <c r="C58" s="10"/>
      <c r="D58" s="11"/>
      <c r="E58" s="12"/>
      <c r="F58" s="10"/>
      <c r="G58" s="10"/>
      <c r="H58" s="12"/>
      <c r="I58" s="12"/>
      <c r="J58" s="13"/>
      <c r="K58" s="12"/>
      <c r="L58" s="12"/>
      <c r="M58" s="12"/>
      <c r="N58" s="12"/>
      <c r="O58" s="14"/>
      <c r="P58" s="12"/>
      <c r="Q58" s="15"/>
      <c r="R58" s="15"/>
      <c r="S58" s="10"/>
    </row>
    <row r="59" spans="1:19" x14ac:dyDescent="0.25">
      <c r="A59" s="10"/>
      <c r="B59" s="10"/>
      <c r="C59" s="10"/>
      <c r="D59" s="11"/>
      <c r="E59" s="12"/>
      <c r="F59" s="10"/>
      <c r="G59" s="10"/>
      <c r="H59" s="12"/>
      <c r="I59" s="12"/>
      <c r="J59" s="13"/>
      <c r="K59" s="12"/>
      <c r="L59" s="12"/>
      <c r="M59" s="12"/>
      <c r="N59" s="12"/>
      <c r="O59" s="14"/>
      <c r="P59" s="12"/>
      <c r="Q59" s="15"/>
      <c r="R59" s="15"/>
      <c r="S59" s="10"/>
    </row>
    <row r="60" spans="1:19" x14ac:dyDescent="0.25">
      <c r="A60" s="10" t="s">
        <v>912</v>
      </c>
      <c r="B60" s="10" t="s">
        <v>913</v>
      </c>
      <c r="C60" s="10" t="s">
        <v>914</v>
      </c>
      <c r="D60" s="11">
        <v>45702</v>
      </c>
      <c r="E60" s="12">
        <v>645000</v>
      </c>
      <c r="F60" s="10" t="s">
        <v>22</v>
      </c>
      <c r="G60" s="10" t="s">
        <v>23</v>
      </c>
      <c r="H60" s="12">
        <v>645000</v>
      </c>
      <c r="I60" s="12">
        <v>433900</v>
      </c>
      <c r="J60" s="13">
        <f>I60/H60*100</f>
        <v>67.271317829457359</v>
      </c>
      <c r="K60" s="12">
        <v>867803</v>
      </c>
      <c r="L60" s="12">
        <f>H60-648154</f>
        <v>-3154</v>
      </c>
      <c r="M60" s="12">
        <v>219649</v>
      </c>
      <c r="N60" s="12">
        <f>E60*0.2</f>
        <v>129000</v>
      </c>
      <c r="O60" s="14">
        <v>0.63100000000000001</v>
      </c>
      <c r="P60" s="12">
        <f>L60/O60</f>
        <v>-4998.4152139461175</v>
      </c>
      <c r="Q60" s="15">
        <f>L60/O60/43560</f>
        <v>-0.11474782401161886</v>
      </c>
      <c r="R60" s="15">
        <f>M60/O60/43560</f>
        <v>7.9911999988357856</v>
      </c>
      <c r="S60" s="10" t="s">
        <v>97</v>
      </c>
    </row>
    <row r="61" spans="1:19" ht="15.75" thickBot="1" x14ac:dyDescent="0.3">
      <c r="A61" s="16"/>
      <c r="B61" s="16"/>
      <c r="C61" s="16"/>
      <c r="D61" s="17"/>
      <c r="E61" s="18"/>
      <c r="F61" s="16"/>
      <c r="G61" s="16"/>
      <c r="H61" s="18"/>
      <c r="I61" s="18"/>
      <c r="J61" s="19"/>
      <c r="K61" s="18"/>
      <c r="L61" s="18">
        <f>AVERAGE(L60)</f>
        <v>-3154</v>
      </c>
      <c r="M61" s="18">
        <f>AVERAGE(M60)</f>
        <v>219649</v>
      </c>
      <c r="N61" s="18">
        <f>AVERAGE(N60)</f>
        <v>129000</v>
      </c>
      <c r="O61" s="20"/>
      <c r="P61" s="18"/>
      <c r="Q61" s="21">
        <f>AVERAGE(Q60)</f>
        <v>-0.11474782401161886</v>
      </c>
      <c r="R61" s="21">
        <f>AVERAGE(R60)</f>
        <v>7.9911999988357856</v>
      </c>
      <c r="S61" s="16"/>
    </row>
    <row r="62" spans="1:19" ht="15.75" thickTop="1" x14ac:dyDescent="0.25">
      <c r="A62" s="10"/>
      <c r="B62" s="10"/>
      <c r="C62" s="10"/>
      <c r="D62" s="11"/>
      <c r="E62" s="12"/>
      <c r="F62" s="10"/>
      <c r="G62" s="10"/>
      <c r="H62" s="12"/>
      <c r="I62" s="12"/>
      <c r="J62" s="13"/>
      <c r="K62" s="12"/>
      <c r="L62" s="12"/>
      <c r="M62" s="12"/>
      <c r="N62" s="12"/>
      <c r="O62" s="14"/>
      <c r="P62" s="12"/>
      <c r="Q62" s="15"/>
      <c r="R62" s="15"/>
      <c r="S62" s="10"/>
    </row>
    <row r="63" spans="1:19" x14ac:dyDescent="0.25">
      <c r="A63" s="10" t="s">
        <v>915</v>
      </c>
      <c r="B63" s="10" t="s">
        <v>916</v>
      </c>
      <c r="C63" s="10" t="s">
        <v>917</v>
      </c>
      <c r="D63" s="11">
        <v>45355</v>
      </c>
      <c r="E63" s="12">
        <v>699900</v>
      </c>
      <c r="F63" s="10" t="s">
        <v>29</v>
      </c>
      <c r="G63" s="10" t="s">
        <v>23</v>
      </c>
      <c r="H63" s="12">
        <v>699900</v>
      </c>
      <c r="I63" s="12">
        <v>330850</v>
      </c>
      <c r="J63" s="13">
        <f t="shared" ref="J63:J69" si="10">I63/H63*100</f>
        <v>47.271038719817113</v>
      </c>
      <c r="K63" s="12">
        <v>661705</v>
      </c>
      <c r="L63" s="12">
        <f>H63-526705</f>
        <v>173195</v>
      </c>
      <c r="M63" s="12">
        <v>135000</v>
      </c>
      <c r="N63" s="12">
        <f t="shared" ref="N63:N69" si="11">E63*0.2</f>
        <v>139980</v>
      </c>
      <c r="O63" s="14">
        <v>0.20499999999999999</v>
      </c>
      <c r="P63" s="12">
        <f t="shared" ref="P63:P69" si="12">L63/O63</f>
        <v>844853.6585365854</v>
      </c>
      <c r="Q63" s="15">
        <f t="shared" ref="Q63:Q69" si="13">L63/O63/43560</f>
        <v>19.395171224439519</v>
      </c>
      <c r="R63" s="15">
        <f t="shared" ref="R63:R69" si="14">M63/O63/43560</f>
        <v>15.117919774239066</v>
      </c>
      <c r="S63" s="10" t="s">
        <v>97</v>
      </c>
    </row>
    <row r="64" spans="1:19" x14ac:dyDescent="0.25">
      <c r="A64" s="10" t="s">
        <v>918</v>
      </c>
      <c r="B64" s="10" t="s">
        <v>919</v>
      </c>
      <c r="C64" s="10" t="s">
        <v>917</v>
      </c>
      <c r="D64" s="11">
        <v>45411</v>
      </c>
      <c r="E64" s="12">
        <v>695000</v>
      </c>
      <c r="F64" s="10" t="s">
        <v>22</v>
      </c>
      <c r="G64" s="10" t="s">
        <v>23</v>
      </c>
      <c r="H64" s="12">
        <v>695000</v>
      </c>
      <c r="I64" s="12">
        <v>306090</v>
      </c>
      <c r="J64" s="13">
        <f t="shared" si="10"/>
        <v>44.041726618705034</v>
      </c>
      <c r="K64" s="12">
        <v>612172</v>
      </c>
      <c r="L64" s="12">
        <f>H64-477172</f>
        <v>217828</v>
      </c>
      <c r="M64" s="12">
        <v>135000</v>
      </c>
      <c r="N64" s="12">
        <f t="shared" si="11"/>
        <v>139000</v>
      </c>
      <c r="O64" s="14">
        <v>0.23400000000000001</v>
      </c>
      <c r="P64" s="12">
        <f t="shared" si="12"/>
        <v>930888.88888888888</v>
      </c>
      <c r="Q64" s="15">
        <f t="shared" si="13"/>
        <v>21.37026833996531</v>
      </c>
      <c r="R64" s="15">
        <f t="shared" si="14"/>
        <v>13.244331426149607</v>
      </c>
      <c r="S64" s="10" t="s">
        <v>97</v>
      </c>
    </row>
    <row r="65" spans="1:19" x14ac:dyDescent="0.25">
      <c r="A65" s="10" t="s">
        <v>918</v>
      </c>
      <c r="B65" s="10" t="s">
        <v>919</v>
      </c>
      <c r="C65" s="10" t="s">
        <v>917</v>
      </c>
      <c r="D65" s="11">
        <v>45408</v>
      </c>
      <c r="E65" s="12">
        <v>695000</v>
      </c>
      <c r="F65" s="10" t="s">
        <v>29</v>
      </c>
      <c r="G65" s="10" t="s">
        <v>23</v>
      </c>
      <c r="H65" s="12">
        <v>695000</v>
      </c>
      <c r="I65" s="12">
        <v>306090</v>
      </c>
      <c r="J65" s="13">
        <f t="shared" si="10"/>
        <v>44.041726618705034</v>
      </c>
      <c r="K65" s="12">
        <v>612172</v>
      </c>
      <c r="L65" s="12">
        <f>H65-477172</f>
        <v>217828</v>
      </c>
      <c r="M65" s="12">
        <v>135000</v>
      </c>
      <c r="N65" s="12">
        <f t="shared" si="11"/>
        <v>139000</v>
      </c>
      <c r="O65" s="14">
        <v>0.23400000000000001</v>
      </c>
      <c r="P65" s="12">
        <f t="shared" si="12"/>
        <v>930888.88888888888</v>
      </c>
      <c r="Q65" s="15">
        <f t="shared" si="13"/>
        <v>21.37026833996531</v>
      </c>
      <c r="R65" s="15">
        <f t="shared" si="14"/>
        <v>13.244331426149607</v>
      </c>
      <c r="S65" s="10" t="s">
        <v>97</v>
      </c>
    </row>
    <row r="66" spans="1:19" x14ac:dyDescent="0.25">
      <c r="A66" s="10" t="s">
        <v>918</v>
      </c>
      <c r="B66" s="10" t="s">
        <v>919</v>
      </c>
      <c r="C66" s="10" t="s">
        <v>917</v>
      </c>
      <c r="D66" s="11">
        <v>45678</v>
      </c>
      <c r="E66" s="12">
        <v>715000</v>
      </c>
      <c r="F66" s="10" t="s">
        <v>22</v>
      </c>
      <c r="G66" s="10" t="s">
        <v>23</v>
      </c>
      <c r="H66" s="12">
        <v>715000</v>
      </c>
      <c r="I66" s="12">
        <v>309490</v>
      </c>
      <c r="J66" s="13">
        <f t="shared" si="10"/>
        <v>43.285314685314688</v>
      </c>
      <c r="K66" s="12">
        <v>618989</v>
      </c>
      <c r="L66" s="12">
        <f>H66-483989</f>
        <v>231011</v>
      </c>
      <c r="M66" s="12">
        <v>135000</v>
      </c>
      <c r="N66" s="12">
        <f t="shared" si="11"/>
        <v>143000</v>
      </c>
      <c r="O66" s="14">
        <v>0.23400000000000001</v>
      </c>
      <c r="P66" s="12">
        <f t="shared" si="12"/>
        <v>987226.49572649563</v>
      </c>
      <c r="Q66" s="15">
        <f t="shared" si="13"/>
        <v>22.663601830268494</v>
      </c>
      <c r="R66" s="15">
        <f t="shared" si="14"/>
        <v>13.244331426149607</v>
      </c>
      <c r="S66" s="10" t="s">
        <v>97</v>
      </c>
    </row>
    <row r="67" spans="1:19" x14ac:dyDescent="0.25">
      <c r="A67" s="10" t="s">
        <v>920</v>
      </c>
      <c r="B67" s="10" t="s">
        <v>921</v>
      </c>
      <c r="C67" s="10" t="s">
        <v>917</v>
      </c>
      <c r="D67" s="11">
        <v>45435</v>
      </c>
      <c r="E67" s="12">
        <v>705000</v>
      </c>
      <c r="F67" s="10" t="s">
        <v>22</v>
      </c>
      <c r="G67" s="10" t="s">
        <v>23</v>
      </c>
      <c r="H67" s="12">
        <v>705000</v>
      </c>
      <c r="I67" s="12">
        <v>339750</v>
      </c>
      <c r="J67" s="13">
        <f t="shared" si="10"/>
        <v>48.191489361702125</v>
      </c>
      <c r="K67" s="12">
        <v>679496</v>
      </c>
      <c r="L67" s="12">
        <f>H67-544496</f>
        <v>160504</v>
      </c>
      <c r="M67" s="12">
        <v>135000</v>
      </c>
      <c r="N67" s="12">
        <f t="shared" si="11"/>
        <v>141000</v>
      </c>
      <c r="O67" s="14">
        <v>0.19500000000000001</v>
      </c>
      <c r="P67" s="12">
        <f t="shared" si="12"/>
        <v>823097.43589743588</v>
      </c>
      <c r="Q67" s="15">
        <f t="shared" si="13"/>
        <v>18.895717077535259</v>
      </c>
      <c r="R67" s="15">
        <f t="shared" si="14"/>
        <v>15.893197711379528</v>
      </c>
      <c r="S67" s="10" t="s">
        <v>97</v>
      </c>
    </row>
    <row r="68" spans="1:19" x14ac:dyDescent="0.25">
      <c r="A68" s="10" t="s">
        <v>922</v>
      </c>
      <c r="B68" s="10" t="s">
        <v>923</v>
      </c>
      <c r="C68" s="10" t="s">
        <v>917</v>
      </c>
      <c r="D68" s="11">
        <v>45502</v>
      </c>
      <c r="E68" s="12">
        <v>691000</v>
      </c>
      <c r="F68" s="10" t="s">
        <v>29</v>
      </c>
      <c r="G68" s="10" t="s">
        <v>23</v>
      </c>
      <c r="H68" s="12">
        <v>691000</v>
      </c>
      <c r="I68" s="12">
        <v>281780</v>
      </c>
      <c r="J68" s="13">
        <f t="shared" si="10"/>
        <v>40.778581765557163</v>
      </c>
      <c r="K68" s="12">
        <v>563554</v>
      </c>
      <c r="L68" s="12">
        <f>H68-428554</f>
        <v>262446</v>
      </c>
      <c r="M68" s="12">
        <v>135000</v>
      </c>
      <c r="N68" s="12">
        <f t="shared" si="11"/>
        <v>138200</v>
      </c>
      <c r="O68" s="14">
        <v>0.23300000000000001</v>
      </c>
      <c r="P68" s="12">
        <f t="shared" si="12"/>
        <v>1126377.6824034334</v>
      </c>
      <c r="Q68" s="15">
        <f t="shared" si="13"/>
        <v>25.858073517066881</v>
      </c>
      <c r="R68" s="15">
        <f t="shared" si="14"/>
        <v>13.301174050296172</v>
      </c>
      <c r="S68" s="10" t="s">
        <v>97</v>
      </c>
    </row>
    <row r="69" spans="1:19" x14ac:dyDescent="0.25">
      <c r="A69" s="10" t="s">
        <v>924</v>
      </c>
      <c r="B69" s="10" t="s">
        <v>925</v>
      </c>
      <c r="C69" s="10" t="s">
        <v>917</v>
      </c>
      <c r="D69" s="11">
        <v>45128</v>
      </c>
      <c r="E69" s="12">
        <v>765000</v>
      </c>
      <c r="F69" s="10" t="s">
        <v>22</v>
      </c>
      <c r="G69" s="10" t="s">
        <v>23</v>
      </c>
      <c r="H69" s="12">
        <v>765000</v>
      </c>
      <c r="I69" s="12">
        <v>389370</v>
      </c>
      <c r="J69" s="13">
        <f t="shared" si="10"/>
        <v>50.898039215686275</v>
      </c>
      <c r="K69" s="12">
        <v>778746</v>
      </c>
      <c r="L69" s="12">
        <f>H69-643746</f>
        <v>121254</v>
      </c>
      <c r="M69" s="12">
        <v>135000</v>
      </c>
      <c r="N69" s="12">
        <f t="shared" si="11"/>
        <v>153000</v>
      </c>
      <c r="O69" s="14">
        <v>0.20100000000000001</v>
      </c>
      <c r="P69" s="12">
        <f t="shared" si="12"/>
        <v>603253.73134328355</v>
      </c>
      <c r="Q69" s="15">
        <f t="shared" si="13"/>
        <v>13.84880007675123</v>
      </c>
      <c r="R69" s="15">
        <f t="shared" si="14"/>
        <v>15.418773899099543</v>
      </c>
      <c r="S69" s="10" t="s">
        <v>97</v>
      </c>
    </row>
    <row r="70" spans="1:19" ht="15.75" thickBot="1" x14ac:dyDescent="0.3">
      <c r="A70" s="16"/>
      <c r="B70" s="16"/>
      <c r="C70" s="16"/>
      <c r="D70" s="17"/>
      <c r="E70" s="18"/>
      <c r="F70" s="16"/>
      <c r="G70" s="16"/>
      <c r="H70" s="18"/>
      <c r="I70" s="18"/>
      <c r="J70" s="19"/>
      <c r="K70" s="18"/>
      <c r="L70" s="18">
        <f>AVERAGE(L63:L69)</f>
        <v>197723.71428571429</v>
      </c>
      <c r="M70" s="18">
        <f>AVERAGE(M63:M69)</f>
        <v>135000</v>
      </c>
      <c r="N70" s="18">
        <f>AVERAGE(N63:N69)</f>
        <v>141882.85714285713</v>
      </c>
      <c r="O70" s="20"/>
      <c r="P70" s="18"/>
      <c r="Q70" s="21">
        <f>AVERAGE(Q63:Q69)</f>
        <v>20.485985772284572</v>
      </c>
      <c r="R70" s="21">
        <f>AVERAGE(R63:R69)</f>
        <v>14.20915138763759</v>
      </c>
      <c r="S70" s="16"/>
    </row>
    <row r="71" spans="1:19" ht="15.75" thickTop="1" x14ac:dyDescent="0.25">
      <c r="A71" s="10"/>
      <c r="B71" s="10"/>
      <c r="C71" s="10"/>
      <c r="D71" s="11"/>
      <c r="E71" s="12"/>
      <c r="F71" s="10"/>
      <c r="G71" s="10"/>
      <c r="H71" s="12"/>
      <c r="I71" s="12"/>
      <c r="J71" s="13"/>
      <c r="K71" s="12"/>
      <c r="L71" s="12"/>
      <c r="M71" s="12"/>
      <c r="N71" s="12"/>
      <c r="O71" s="14"/>
      <c r="P71" s="12"/>
      <c r="Q71" s="15"/>
      <c r="R71" s="15"/>
      <c r="S71" s="10"/>
    </row>
    <row r="72" spans="1:19" x14ac:dyDescent="0.25">
      <c r="A72" s="10"/>
      <c r="B72" s="10"/>
      <c r="C72" s="10"/>
      <c r="D72" s="11"/>
      <c r="E72" s="12"/>
      <c r="F72" s="10"/>
      <c r="G72" s="10"/>
      <c r="H72" s="12"/>
      <c r="I72" s="12"/>
      <c r="J72" s="13"/>
      <c r="K72" s="12"/>
      <c r="L72" s="12"/>
      <c r="M72" s="12"/>
      <c r="N72" s="12"/>
      <c r="O72" s="14"/>
      <c r="P72" s="12"/>
      <c r="Q72" s="15"/>
      <c r="R72" s="15"/>
      <c r="S72" s="10"/>
    </row>
    <row r="73" spans="1:19" x14ac:dyDescent="0.25">
      <c r="A73" s="10" t="s">
        <v>926</v>
      </c>
      <c r="B73" s="10" t="s">
        <v>927</v>
      </c>
      <c r="C73" s="10" t="s">
        <v>928</v>
      </c>
      <c r="D73" s="11">
        <v>45301</v>
      </c>
      <c r="E73" s="12">
        <v>950000</v>
      </c>
      <c r="F73" s="10" t="s">
        <v>22</v>
      </c>
      <c r="G73" s="10" t="s">
        <v>23</v>
      </c>
      <c r="H73" s="12">
        <v>950000</v>
      </c>
      <c r="I73" s="12">
        <v>267740</v>
      </c>
      <c r="J73" s="13">
        <f>I73/H73*100</f>
        <v>28.183157894736844</v>
      </c>
      <c r="K73" s="12">
        <v>535470</v>
      </c>
      <c r="L73" s="12">
        <f>H73-0</f>
        <v>950000</v>
      </c>
      <c r="M73" s="12">
        <v>535470</v>
      </c>
      <c r="N73" s="12">
        <f>E73*0.2</f>
        <v>190000</v>
      </c>
      <c r="O73" s="14">
        <v>3.76</v>
      </c>
      <c r="P73" s="12">
        <f>L73/O73</f>
        <v>252659.57446808513</v>
      </c>
      <c r="Q73" s="15">
        <f>L73/O73/43560</f>
        <v>5.8002657132250945</v>
      </c>
      <c r="R73" s="15">
        <f>M73/O73/43560</f>
        <v>3.2693350331164646</v>
      </c>
      <c r="S73" s="10" t="s">
        <v>24</v>
      </c>
    </row>
    <row r="74" spans="1:19" x14ac:dyDescent="0.25">
      <c r="A74" s="10" t="s">
        <v>929</v>
      </c>
      <c r="B74" s="10" t="s">
        <v>930</v>
      </c>
      <c r="C74" s="10" t="s">
        <v>928</v>
      </c>
      <c r="D74" s="11">
        <v>45747</v>
      </c>
      <c r="E74" s="12">
        <v>1430325</v>
      </c>
      <c r="F74" s="10" t="s">
        <v>22</v>
      </c>
      <c r="G74" s="10" t="s">
        <v>23</v>
      </c>
      <c r="H74" s="12">
        <v>1430325</v>
      </c>
      <c r="I74" s="12">
        <v>708730</v>
      </c>
      <c r="J74" s="13">
        <f>I74/H74*100</f>
        <v>49.550277034939612</v>
      </c>
      <c r="K74" s="12">
        <v>1417462</v>
      </c>
      <c r="L74" s="12">
        <f>H74-844225</f>
        <v>586100</v>
      </c>
      <c r="M74" s="12">
        <v>573237</v>
      </c>
      <c r="N74" s="12">
        <f>E74*0.2</f>
        <v>286065</v>
      </c>
      <c r="O74" s="14">
        <v>4.6100000000000003</v>
      </c>
      <c r="P74" s="12">
        <f>L74/O74</f>
        <v>127136.65943600867</v>
      </c>
      <c r="Q74" s="15">
        <f>L74/O74/43560</f>
        <v>2.9186560935722836</v>
      </c>
      <c r="R74" s="15">
        <f>M74/O74/43560</f>
        <v>2.8546010290242192</v>
      </c>
      <c r="S74" s="10" t="s">
        <v>24</v>
      </c>
    </row>
    <row r="75" spans="1:19" x14ac:dyDescent="0.25">
      <c r="A75" s="10" t="s">
        <v>931</v>
      </c>
      <c r="B75" s="10" t="s">
        <v>932</v>
      </c>
      <c r="C75" s="10" t="s">
        <v>928</v>
      </c>
      <c r="D75" s="11">
        <v>45153</v>
      </c>
      <c r="E75" s="12">
        <v>2300000</v>
      </c>
      <c r="F75" s="10" t="s">
        <v>22</v>
      </c>
      <c r="G75" s="10" t="s">
        <v>23</v>
      </c>
      <c r="H75" s="12">
        <v>2300000</v>
      </c>
      <c r="I75" s="12">
        <v>1011330</v>
      </c>
      <c r="J75" s="13">
        <f>I75/H75*100</f>
        <v>43.970869565217392</v>
      </c>
      <c r="K75" s="12">
        <v>2022661</v>
      </c>
      <c r="L75" s="12">
        <f>H75-1661855</f>
        <v>638145</v>
      </c>
      <c r="M75" s="12">
        <v>360806</v>
      </c>
      <c r="N75" s="12">
        <f>E75*0.2</f>
        <v>460000</v>
      </c>
      <c r="O75" s="14">
        <v>1.569</v>
      </c>
      <c r="P75" s="12">
        <f>L75/O75</f>
        <v>406720.84130019124</v>
      </c>
      <c r="Q75" s="15">
        <f>L75/O75/43560</f>
        <v>9.3370257415103595</v>
      </c>
      <c r="R75" s="15">
        <f>M75/O75/43560</f>
        <v>5.279137045172158</v>
      </c>
      <c r="S75" s="10" t="s">
        <v>24</v>
      </c>
    </row>
    <row r="76" spans="1:19" ht="15.75" thickBot="1" x14ac:dyDescent="0.3">
      <c r="A76" s="16"/>
      <c r="B76" s="16"/>
      <c r="C76" s="16"/>
      <c r="D76" s="17"/>
      <c r="E76" s="18"/>
      <c r="F76" s="16"/>
      <c r="G76" s="16"/>
      <c r="H76" s="18"/>
      <c r="I76" s="18"/>
      <c r="J76" s="19"/>
      <c r="K76" s="18"/>
      <c r="L76" s="18">
        <f>AVERAGE(L73:L75)</f>
        <v>724748.33333333337</v>
      </c>
      <c r="M76" s="18">
        <f>AVERAGE(M73:M75)</f>
        <v>489837.66666666669</v>
      </c>
      <c r="N76" s="18">
        <f>AVERAGE(N73:N75)</f>
        <v>312021.66666666669</v>
      </c>
      <c r="O76" s="20"/>
      <c r="P76" s="18"/>
      <c r="Q76" s="21">
        <f>AVERAGE(Q73:Q75)</f>
        <v>6.0186491827692459</v>
      </c>
      <c r="R76" s="21">
        <f>AVERAGE(R73:R75)</f>
        <v>3.8010243691042809</v>
      </c>
      <c r="S76" s="16"/>
    </row>
    <row r="77" spans="1:19" ht="15.75" thickTop="1" x14ac:dyDescent="0.25">
      <c r="A77" s="10"/>
      <c r="B77" s="10"/>
      <c r="C77" s="10"/>
      <c r="D77" s="11"/>
      <c r="E77" s="12"/>
      <c r="F77" s="10"/>
      <c r="G77" s="10"/>
      <c r="H77" s="12"/>
      <c r="I77" s="12"/>
      <c r="J77" s="13"/>
      <c r="K77" s="12"/>
      <c r="L77" s="12"/>
      <c r="M77" s="12"/>
      <c r="N77" s="12"/>
      <c r="O77" s="14"/>
      <c r="P77" s="12"/>
      <c r="Q77" s="15"/>
      <c r="R77" s="15"/>
      <c r="S77" s="10"/>
    </row>
    <row r="78" spans="1:19" x14ac:dyDescent="0.25">
      <c r="A78" s="10"/>
      <c r="B78" s="10"/>
      <c r="C78" s="10"/>
      <c r="D78" s="11"/>
      <c r="E78" s="12"/>
      <c r="F78" s="10"/>
      <c r="G78" s="10"/>
      <c r="H78" s="12"/>
      <c r="I78" s="12"/>
      <c r="J78" s="13"/>
      <c r="K78" s="12"/>
      <c r="L78" s="12"/>
      <c r="M78" s="12"/>
      <c r="N78" s="12"/>
      <c r="O78" s="14"/>
      <c r="P78" s="12"/>
      <c r="Q78" s="15"/>
      <c r="R78" s="15"/>
      <c r="S78" s="10"/>
    </row>
    <row r="79" spans="1:19" x14ac:dyDescent="0.25">
      <c r="A79" s="10" t="s">
        <v>933</v>
      </c>
      <c r="B79" s="10" t="s">
        <v>934</v>
      </c>
      <c r="C79" s="10" t="s">
        <v>935</v>
      </c>
      <c r="D79" s="11">
        <v>45070</v>
      </c>
      <c r="E79" s="12">
        <v>835000</v>
      </c>
      <c r="F79" s="10" t="s">
        <v>22</v>
      </c>
      <c r="G79" s="10" t="s">
        <v>23</v>
      </c>
      <c r="H79" s="12">
        <v>835000</v>
      </c>
      <c r="I79" s="12">
        <v>415160</v>
      </c>
      <c r="J79" s="13">
        <f>I79/H79*100</f>
        <v>49.719760479041916</v>
      </c>
      <c r="K79" s="12">
        <v>830327</v>
      </c>
      <c r="L79" s="12">
        <f>H79-693327</f>
        <v>141673</v>
      </c>
      <c r="M79" s="12">
        <v>137000</v>
      </c>
      <c r="N79" s="12">
        <f>E79*0.2</f>
        <v>167000</v>
      </c>
      <c r="O79" s="14">
        <v>1</v>
      </c>
      <c r="P79" s="12">
        <f>L79/O79</f>
        <v>141673</v>
      </c>
      <c r="Q79" s="15">
        <f>L79/O79/43560</f>
        <v>3.2523645546372819</v>
      </c>
      <c r="R79" s="15">
        <f>M79/O79/43560</f>
        <v>3.1450872359963271</v>
      </c>
      <c r="S79" s="10" t="s">
        <v>97</v>
      </c>
    </row>
    <row r="80" spans="1:19" x14ac:dyDescent="0.25">
      <c r="A80" s="10" t="s">
        <v>936</v>
      </c>
      <c r="B80" s="10" t="s">
        <v>937</v>
      </c>
      <c r="C80" s="10" t="s">
        <v>935</v>
      </c>
      <c r="D80" s="11">
        <v>45119</v>
      </c>
      <c r="E80" s="12">
        <v>750000</v>
      </c>
      <c r="F80" s="10" t="s">
        <v>22</v>
      </c>
      <c r="G80" s="10" t="s">
        <v>23</v>
      </c>
      <c r="H80" s="12">
        <v>750000</v>
      </c>
      <c r="I80" s="12">
        <v>436520</v>
      </c>
      <c r="J80" s="13">
        <f>I80/H80*100</f>
        <v>58.202666666666673</v>
      </c>
      <c r="K80" s="12">
        <v>873037</v>
      </c>
      <c r="L80" s="12">
        <f>H80-736037</f>
        <v>13963</v>
      </c>
      <c r="M80" s="12">
        <v>137000</v>
      </c>
      <c r="N80" s="12">
        <f>E80*0.2</f>
        <v>150000</v>
      </c>
      <c r="O80" s="14">
        <v>1</v>
      </c>
      <c r="P80" s="12">
        <f>L80/O80</f>
        <v>13963</v>
      </c>
      <c r="Q80" s="15">
        <f>L80/O80/43560</f>
        <v>0.32054637281910009</v>
      </c>
      <c r="R80" s="15">
        <f>M80/O80/43560</f>
        <v>3.1450872359963271</v>
      </c>
      <c r="S80" s="10" t="s">
        <v>97</v>
      </c>
    </row>
    <row r="81" spans="1:19" ht="15.75" thickBot="1" x14ac:dyDescent="0.3">
      <c r="A81" s="16"/>
      <c r="B81" s="16"/>
      <c r="C81" s="16"/>
      <c r="D81" s="17"/>
      <c r="E81" s="18"/>
      <c r="F81" s="16"/>
      <c r="G81" s="16"/>
      <c r="H81" s="18"/>
      <c r="I81" s="18"/>
      <c r="J81" s="19"/>
      <c r="K81" s="18"/>
      <c r="L81" s="18">
        <f>AVERAGE(L79:L80)</f>
        <v>77818</v>
      </c>
      <c r="M81" s="18">
        <f>AVERAGE(M79:M80)</f>
        <v>137000</v>
      </c>
      <c r="N81" s="18">
        <f>AVERAGE(N79:N80)</f>
        <v>158500</v>
      </c>
      <c r="O81" s="20"/>
      <c r="P81" s="18"/>
      <c r="Q81" s="21">
        <f>AVERAGE(Q79:Q80)</f>
        <v>1.7864554637281911</v>
      </c>
      <c r="R81" s="21">
        <f>AVERAGE(R79:R80)</f>
        <v>3.1450872359963271</v>
      </c>
      <c r="S81" s="16"/>
    </row>
    <row r="82" spans="1:19" ht="15.75" thickTop="1" x14ac:dyDescent="0.25">
      <c r="A82" s="10"/>
      <c r="B82" s="10"/>
      <c r="C82" s="10"/>
      <c r="D82" s="11"/>
      <c r="E82" s="12"/>
      <c r="F82" s="10"/>
      <c r="G82" s="10"/>
      <c r="H82" s="12"/>
      <c r="I82" s="12"/>
      <c r="J82" s="13"/>
      <c r="K82" s="12"/>
      <c r="L82" s="12"/>
      <c r="M82" s="12"/>
      <c r="N82" s="12"/>
      <c r="O82" s="14"/>
      <c r="P82" s="12"/>
      <c r="Q82" s="15"/>
      <c r="R82" s="15"/>
      <c r="S82" s="10"/>
    </row>
    <row r="83" spans="1:19" x14ac:dyDescent="0.25">
      <c r="A83" s="10"/>
      <c r="B83" s="10"/>
      <c r="C83" s="10"/>
      <c r="D83" s="11"/>
      <c r="E83" s="12"/>
      <c r="F83" s="10"/>
      <c r="G83" s="10"/>
      <c r="H83" s="12"/>
      <c r="I83" s="12"/>
      <c r="J83" s="13"/>
      <c r="K83" s="12"/>
      <c r="L83" s="12"/>
      <c r="M83" s="12"/>
      <c r="N83" s="12"/>
      <c r="O83" s="14"/>
      <c r="P83" s="12"/>
      <c r="Q83" s="15"/>
      <c r="R83" s="15"/>
      <c r="S83" s="10"/>
    </row>
    <row r="84" spans="1:19" x14ac:dyDescent="0.25">
      <c r="A84" s="10" t="s">
        <v>938</v>
      </c>
      <c r="B84" s="10" t="s">
        <v>939</v>
      </c>
      <c r="C84" s="10" t="s">
        <v>940</v>
      </c>
      <c r="D84" s="11">
        <v>45092</v>
      </c>
      <c r="E84" s="12">
        <v>1750000</v>
      </c>
      <c r="F84" s="10" t="s">
        <v>29</v>
      </c>
      <c r="G84" s="10" t="s">
        <v>23</v>
      </c>
      <c r="H84" s="12">
        <v>1750000</v>
      </c>
      <c r="I84" s="12">
        <v>766330</v>
      </c>
      <c r="J84" s="13">
        <f t="shared" ref="J84:J91" si="15">I84/H84*100</f>
        <v>43.790285714285716</v>
      </c>
      <c r="K84" s="12">
        <v>1532650</v>
      </c>
      <c r="L84" s="12">
        <f>H84-1107650</f>
        <v>642350</v>
      </c>
      <c r="M84" s="12">
        <v>425000</v>
      </c>
      <c r="N84" s="12">
        <f t="shared" ref="N84:N91" si="16">E84*0.2</f>
        <v>350000</v>
      </c>
      <c r="O84" s="14">
        <v>0</v>
      </c>
      <c r="P84" s="12" t="e">
        <f t="shared" ref="P84:P91" si="17">L84/O84</f>
        <v>#DIV/0!</v>
      </c>
      <c r="Q84" s="15" t="e">
        <f t="shared" ref="Q84:Q91" si="18">L84/O84/43560</f>
        <v>#DIV/0!</v>
      </c>
      <c r="R84" s="15" t="e">
        <f t="shared" ref="R84:R91" si="19">M84/O84/43560</f>
        <v>#DIV/0!</v>
      </c>
      <c r="S84" s="10" t="s">
        <v>97</v>
      </c>
    </row>
    <row r="85" spans="1:19" x14ac:dyDescent="0.25">
      <c r="A85" s="10" t="s">
        <v>941</v>
      </c>
      <c r="B85" s="10" t="s">
        <v>942</v>
      </c>
      <c r="C85" s="10" t="s">
        <v>940</v>
      </c>
      <c r="D85" s="11">
        <v>45504</v>
      </c>
      <c r="E85" s="12">
        <v>1749915</v>
      </c>
      <c r="F85" s="10" t="s">
        <v>29</v>
      </c>
      <c r="G85" s="10" t="s">
        <v>23</v>
      </c>
      <c r="H85" s="12">
        <v>1749915</v>
      </c>
      <c r="I85" s="12">
        <v>753100</v>
      </c>
      <c r="J85" s="13">
        <f t="shared" si="15"/>
        <v>43.03637605255112</v>
      </c>
      <c r="K85" s="12">
        <v>1506194</v>
      </c>
      <c r="L85" s="12">
        <f>H85-1081194</f>
        <v>668721</v>
      </c>
      <c r="M85" s="12">
        <v>425000</v>
      </c>
      <c r="N85" s="12">
        <f t="shared" si="16"/>
        <v>349983</v>
      </c>
      <c r="O85" s="14">
        <v>0</v>
      </c>
      <c r="P85" s="12" t="e">
        <f t="shared" si="17"/>
        <v>#DIV/0!</v>
      </c>
      <c r="Q85" s="15" t="e">
        <f t="shared" si="18"/>
        <v>#DIV/0!</v>
      </c>
      <c r="R85" s="15" t="e">
        <f t="shared" si="19"/>
        <v>#DIV/0!</v>
      </c>
      <c r="S85" s="10" t="s">
        <v>97</v>
      </c>
    </row>
    <row r="86" spans="1:19" x14ac:dyDescent="0.25">
      <c r="A86" s="10" t="s">
        <v>943</v>
      </c>
      <c r="B86" s="10" t="s">
        <v>944</v>
      </c>
      <c r="C86" s="10" t="s">
        <v>940</v>
      </c>
      <c r="D86" s="11">
        <v>45209</v>
      </c>
      <c r="E86" s="12">
        <v>2097460</v>
      </c>
      <c r="F86" s="10" t="s">
        <v>29</v>
      </c>
      <c r="G86" s="10" t="s">
        <v>23</v>
      </c>
      <c r="H86" s="12">
        <v>2097460</v>
      </c>
      <c r="I86" s="12">
        <v>814570</v>
      </c>
      <c r="J86" s="13">
        <f t="shared" si="15"/>
        <v>38.836020710764444</v>
      </c>
      <c r="K86" s="12">
        <v>1629143</v>
      </c>
      <c r="L86" s="12">
        <f>H86-1204143</f>
        <v>893317</v>
      </c>
      <c r="M86" s="12">
        <v>425000</v>
      </c>
      <c r="N86" s="12">
        <f t="shared" si="16"/>
        <v>419492</v>
      </c>
      <c r="O86" s="14">
        <v>0</v>
      </c>
      <c r="P86" s="12" t="e">
        <f t="shared" si="17"/>
        <v>#DIV/0!</v>
      </c>
      <c r="Q86" s="15" t="e">
        <f t="shared" si="18"/>
        <v>#DIV/0!</v>
      </c>
      <c r="R86" s="15" t="e">
        <f t="shared" si="19"/>
        <v>#DIV/0!</v>
      </c>
      <c r="S86" s="10" t="s">
        <v>97</v>
      </c>
    </row>
    <row r="87" spans="1:19" x14ac:dyDescent="0.25">
      <c r="A87" s="10" t="s">
        <v>945</v>
      </c>
      <c r="B87" s="10" t="s">
        <v>946</v>
      </c>
      <c r="C87" s="10" t="s">
        <v>940</v>
      </c>
      <c r="D87" s="11">
        <v>45411</v>
      </c>
      <c r="E87" s="12">
        <v>1849326</v>
      </c>
      <c r="F87" s="10" t="s">
        <v>29</v>
      </c>
      <c r="G87" s="10" t="s">
        <v>23</v>
      </c>
      <c r="H87" s="12">
        <v>1849326</v>
      </c>
      <c r="I87" s="12">
        <v>715120</v>
      </c>
      <c r="J87" s="13">
        <f t="shared" si="15"/>
        <v>38.669223273776495</v>
      </c>
      <c r="K87" s="12">
        <v>1430245</v>
      </c>
      <c r="L87" s="12">
        <f>H87-1005245</f>
        <v>844081</v>
      </c>
      <c r="M87" s="12">
        <v>425000</v>
      </c>
      <c r="N87" s="12">
        <f t="shared" si="16"/>
        <v>369865.2</v>
      </c>
      <c r="O87" s="14">
        <v>0</v>
      </c>
      <c r="P87" s="12" t="e">
        <f t="shared" si="17"/>
        <v>#DIV/0!</v>
      </c>
      <c r="Q87" s="15" t="e">
        <f t="shared" si="18"/>
        <v>#DIV/0!</v>
      </c>
      <c r="R87" s="15" t="e">
        <f t="shared" si="19"/>
        <v>#DIV/0!</v>
      </c>
      <c r="S87" s="10" t="s">
        <v>97</v>
      </c>
    </row>
    <row r="88" spans="1:19" x14ac:dyDescent="0.25">
      <c r="A88" s="10" t="s">
        <v>947</v>
      </c>
      <c r="B88" s="10" t="s">
        <v>948</v>
      </c>
      <c r="C88" s="10" t="s">
        <v>940</v>
      </c>
      <c r="D88" s="11">
        <v>45103</v>
      </c>
      <c r="E88" s="12">
        <v>1525929</v>
      </c>
      <c r="F88" s="10" t="s">
        <v>22</v>
      </c>
      <c r="G88" s="10" t="s">
        <v>23</v>
      </c>
      <c r="H88" s="12">
        <v>1525929</v>
      </c>
      <c r="I88" s="12">
        <v>710710</v>
      </c>
      <c r="J88" s="13">
        <f t="shared" si="15"/>
        <v>46.575561510397925</v>
      </c>
      <c r="K88" s="12">
        <v>1421415</v>
      </c>
      <c r="L88" s="12">
        <f>H88-996415</f>
        <v>529514</v>
      </c>
      <c r="M88" s="12">
        <v>425000</v>
      </c>
      <c r="N88" s="12">
        <f t="shared" si="16"/>
        <v>305185.8</v>
      </c>
      <c r="O88" s="14">
        <v>0</v>
      </c>
      <c r="P88" s="12" t="e">
        <f t="shared" si="17"/>
        <v>#DIV/0!</v>
      </c>
      <c r="Q88" s="15" t="e">
        <f t="shared" si="18"/>
        <v>#DIV/0!</v>
      </c>
      <c r="R88" s="15" t="e">
        <f t="shared" si="19"/>
        <v>#DIV/0!</v>
      </c>
      <c r="S88" s="10" t="s">
        <v>97</v>
      </c>
    </row>
    <row r="89" spans="1:19" x14ac:dyDescent="0.25">
      <c r="A89" s="10" t="s">
        <v>949</v>
      </c>
      <c r="B89" s="10" t="s">
        <v>950</v>
      </c>
      <c r="C89" s="10" t="s">
        <v>940</v>
      </c>
      <c r="D89" s="11">
        <v>45152</v>
      </c>
      <c r="E89" s="12">
        <v>1801182</v>
      </c>
      <c r="F89" s="10" t="s">
        <v>29</v>
      </c>
      <c r="G89" s="10" t="s">
        <v>23</v>
      </c>
      <c r="H89" s="12">
        <v>1801182</v>
      </c>
      <c r="I89" s="12">
        <v>763590</v>
      </c>
      <c r="J89" s="13">
        <f t="shared" si="15"/>
        <v>42.393828052911921</v>
      </c>
      <c r="K89" s="12">
        <v>1527182</v>
      </c>
      <c r="L89" s="12">
        <f>H89-1102182</f>
        <v>699000</v>
      </c>
      <c r="M89" s="12">
        <v>425000</v>
      </c>
      <c r="N89" s="12">
        <f t="shared" si="16"/>
        <v>360236.4</v>
      </c>
      <c r="O89" s="14">
        <v>0</v>
      </c>
      <c r="P89" s="12" t="e">
        <f t="shared" si="17"/>
        <v>#DIV/0!</v>
      </c>
      <c r="Q89" s="15" t="e">
        <f t="shared" si="18"/>
        <v>#DIV/0!</v>
      </c>
      <c r="R89" s="15" t="e">
        <f t="shared" si="19"/>
        <v>#DIV/0!</v>
      </c>
      <c r="S89" s="10" t="s">
        <v>97</v>
      </c>
    </row>
    <row r="90" spans="1:19" x14ac:dyDescent="0.25">
      <c r="A90" s="10" t="s">
        <v>951</v>
      </c>
      <c r="B90" s="10" t="s">
        <v>952</v>
      </c>
      <c r="C90" s="10" t="s">
        <v>940</v>
      </c>
      <c r="D90" s="11">
        <v>45212</v>
      </c>
      <c r="E90" s="12">
        <v>1814412</v>
      </c>
      <c r="F90" s="10" t="s">
        <v>22</v>
      </c>
      <c r="G90" s="10" t="s">
        <v>23</v>
      </c>
      <c r="H90" s="12">
        <v>1814412</v>
      </c>
      <c r="I90" s="12">
        <v>778890</v>
      </c>
      <c r="J90" s="13">
        <f t="shared" si="15"/>
        <v>42.927956825682365</v>
      </c>
      <c r="K90" s="12">
        <v>1557772</v>
      </c>
      <c r="L90" s="12">
        <f>H90-1132772</f>
        <v>681640</v>
      </c>
      <c r="M90" s="12">
        <v>425000</v>
      </c>
      <c r="N90" s="12">
        <f t="shared" si="16"/>
        <v>362882.4</v>
      </c>
      <c r="O90" s="14">
        <v>0</v>
      </c>
      <c r="P90" s="12" t="e">
        <f t="shared" si="17"/>
        <v>#DIV/0!</v>
      </c>
      <c r="Q90" s="15" t="e">
        <f t="shared" si="18"/>
        <v>#DIV/0!</v>
      </c>
      <c r="R90" s="15" t="e">
        <f t="shared" si="19"/>
        <v>#DIV/0!</v>
      </c>
      <c r="S90" s="10" t="s">
        <v>97</v>
      </c>
    </row>
    <row r="91" spans="1:19" x14ac:dyDescent="0.25">
      <c r="A91" s="10" t="s">
        <v>953</v>
      </c>
      <c r="B91" s="10" t="s">
        <v>954</v>
      </c>
      <c r="C91" s="10" t="s">
        <v>940</v>
      </c>
      <c r="D91" s="11">
        <v>45276</v>
      </c>
      <c r="E91" s="12">
        <v>1830721</v>
      </c>
      <c r="F91" s="10" t="s">
        <v>22</v>
      </c>
      <c r="G91" s="10" t="s">
        <v>23</v>
      </c>
      <c r="H91" s="12">
        <v>1830721</v>
      </c>
      <c r="I91" s="12">
        <v>796620</v>
      </c>
      <c r="J91" s="13">
        <f t="shared" si="15"/>
        <v>43.514003499167814</v>
      </c>
      <c r="K91" s="12">
        <v>1593231</v>
      </c>
      <c r="L91" s="12">
        <f>H91-1168231</f>
        <v>662490</v>
      </c>
      <c r="M91" s="12">
        <v>425000</v>
      </c>
      <c r="N91" s="12">
        <f t="shared" si="16"/>
        <v>366144.2</v>
      </c>
      <c r="O91" s="14">
        <v>0</v>
      </c>
      <c r="P91" s="12" t="e">
        <f t="shared" si="17"/>
        <v>#DIV/0!</v>
      </c>
      <c r="Q91" s="15" t="e">
        <f t="shared" si="18"/>
        <v>#DIV/0!</v>
      </c>
      <c r="R91" s="15" t="e">
        <f t="shared" si="19"/>
        <v>#DIV/0!</v>
      </c>
      <c r="S91" s="10" t="s">
        <v>97</v>
      </c>
    </row>
    <row r="92" spans="1:19" ht="15.75" thickBot="1" x14ac:dyDescent="0.3">
      <c r="A92" s="16"/>
      <c r="B92" s="16"/>
      <c r="C92" s="16"/>
      <c r="D92" s="17"/>
      <c r="E92" s="18"/>
      <c r="F92" s="16"/>
      <c r="G92" s="16"/>
      <c r="H92" s="18"/>
      <c r="I92" s="18"/>
      <c r="J92" s="19"/>
      <c r="K92" s="18"/>
      <c r="L92" s="18">
        <f>AVERAGE(L84:L91)</f>
        <v>702639.125</v>
      </c>
      <c r="M92" s="18">
        <f>AVERAGE(M84:M91)</f>
        <v>425000</v>
      </c>
      <c r="N92" s="18">
        <f>AVERAGE(N84:N91)</f>
        <v>360473.625</v>
      </c>
      <c r="O92" s="20"/>
      <c r="P92" s="18"/>
      <c r="Q92" s="21"/>
      <c r="R92" s="21"/>
      <c r="S92" s="16"/>
    </row>
    <row r="93" spans="1:19" ht="15.75" thickTop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3386C1FB43154F87484B77D6196F61" ma:contentTypeVersion="13" ma:contentTypeDescription="Create a new document." ma:contentTypeScope="" ma:versionID="abe44ffe4ed1ef82ec6c01f3020f9376">
  <xsd:schema xmlns:xsd="http://www.w3.org/2001/XMLSchema" xmlns:xs="http://www.w3.org/2001/XMLSchema" xmlns:p="http://schemas.microsoft.com/office/2006/metadata/properties" xmlns:ns2="4a4961c5-158b-41ec-a06f-13f511eb849f" xmlns:ns3="5ef74169-aa26-47c7-9bcf-cec5858caf32" targetNamespace="http://schemas.microsoft.com/office/2006/metadata/properties" ma:root="true" ma:fieldsID="9df82c5a94095b4867612573230ee45d" ns2:_="" ns3:_="">
    <xsd:import namespace="4a4961c5-158b-41ec-a06f-13f511eb849f"/>
    <xsd:import namespace="5ef74169-aa26-47c7-9bcf-cec5858caf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4961c5-158b-41ec-a06f-13f511eb84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dc17fe8-6b3c-4dc0-bb13-c313f8c8e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74169-aa26-47c7-9bcf-cec5858caf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b1b666-533c-44c4-ae51-47b0f30bf56a}" ma:internalName="TaxCatchAll" ma:showField="CatchAllData" ma:web="5ef74169-aa26-47c7-9bcf-cec5858caf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4961c5-158b-41ec-a06f-13f511eb849f">
      <Terms xmlns="http://schemas.microsoft.com/office/infopath/2007/PartnerControls"/>
    </lcf76f155ced4ddcb4097134ff3c332f>
    <TaxCatchAll xmlns="5ef74169-aa26-47c7-9bcf-cec5858caf32" xsi:nil="true"/>
  </documentManagement>
</p:properties>
</file>

<file path=customXml/itemProps1.xml><?xml version="1.0" encoding="utf-8"?>
<ds:datastoreItem xmlns:ds="http://schemas.openxmlformats.org/officeDocument/2006/customXml" ds:itemID="{18C6CA7C-1076-409B-9363-F3B245F918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3BD9F7-1711-4720-8227-58ADAECD08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4961c5-158b-41ec-a06f-13f511eb849f"/>
    <ds:schemaRef ds:uri="5ef74169-aa26-47c7-9bcf-cec5858caf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3F880A-50B4-4CF3-8094-F70213ABD7FA}">
  <ds:schemaRefs>
    <ds:schemaRef ds:uri="4a4961c5-158b-41ec-a06f-13f511eb849f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5ef74169-aa26-47c7-9bcf-cec5858caf32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Section # 1</vt:lpstr>
      <vt:lpstr>Section # 2</vt:lpstr>
      <vt:lpstr>Section # 3</vt:lpstr>
      <vt:lpstr>Section # 4</vt:lpstr>
      <vt:lpstr>Section # 5</vt:lpstr>
      <vt:lpstr>Section # 6</vt:lpstr>
      <vt:lpstr>Section # 7</vt:lpstr>
      <vt:lpstr>Section # 8</vt:lpstr>
      <vt:lpstr>Section # 9</vt:lpstr>
      <vt:lpstr>Section # 10</vt:lpstr>
      <vt:lpstr>Section # 11</vt:lpstr>
      <vt:lpstr>Section # 12</vt:lpstr>
      <vt:lpstr>Section # 13</vt:lpstr>
      <vt:lpstr>Section # 16</vt:lpstr>
      <vt:lpstr>Section # 17</vt:lpstr>
      <vt:lpstr>Section # 18</vt:lpstr>
      <vt:lpstr>Section # 19</vt:lpstr>
      <vt:lpstr>Section # 20</vt:lpstr>
      <vt:lpstr>Section # 21</vt:lpstr>
      <vt:lpstr>Section # 24</vt:lpstr>
      <vt:lpstr>Section # 25</vt:lpstr>
      <vt:lpstr>Section # 27</vt:lpstr>
      <vt:lpstr>Section # 28</vt:lpstr>
      <vt:lpstr>Section # 29</vt:lpstr>
      <vt:lpstr>Section # 30</vt:lpstr>
      <vt:lpstr>Section # 31</vt:lpstr>
      <vt:lpstr>Section # 32</vt:lpstr>
      <vt:lpstr>Section # 33</vt:lpstr>
      <vt:lpstr>Section # 34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NPOI</dc:creator>
  <cp:keywords/>
  <dc:description/>
  <cp:lastModifiedBy>Guzman, Jose</cp:lastModifiedBy>
  <cp:revision/>
  <dcterms:created xsi:type="dcterms:W3CDTF">2025-05-13T13:48:50Z</dcterms:created>
  <dcterms:modified xsi:type="dcterms:W3CDTF">2026-02-23T13:27:21Z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  <property fmtid="{D5CDD505-2E9C-101B-9397-08002B2CF9AE}" pid="4" name="ContentTypeId">
    <vt:lpwstr>0x0101006C3386C1FB43154F87484B77D6196F61</vt:lpwstr>
  </property>
  <property fmtid="{D5CDD505-2E9C-101B-9397-08002B2CF9AE}" pid="5" name="MediaServiceImageTags">
    <vt:lpwstr/>
  </property>
</Properties>
</file>